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jenkins/Documents/BYU/Winter 2023/ACC 591R/"/>
    </mc:Choice>
  </mc:AlternateContent>
  <xr:revisionPtr revIDLastSave="0" documentId="8_{C47897C0-AD6B-8D41-AE0D-66E4989272FF}" xr6:coauthVersionLast="47" xr6:coauthVersionMax="47" xr10:uidLastSave="{00000000-0000-0000-0000-000000000000}"/>
  <bookViews>
    <workbookView xWindow="0" yWindow="500" windowWidth="28800" windowHeight="17500" activeTab="1" xr2:uid="{E665BD43-C62B-4065-B16B-58BF1C71BFE6}"/>
  </bookViews>
  <sheets>
    <sheet name="Company_Data" sheetId="7" r:id="rId1"/>
    <sheet name="Analysi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D93" i="8"/>
  <c r="D94" i="8"/>
  <c r="D95" i="8"/>
  <c r="D96" i="8"/>
  <c r="J96" i="8" s="1"/>
  <c r="D97" i="8"/>
  <c r="D98" i="8"/>
  <c r="J98" i="8" s="1"/>
  <c r="D99" i="8"/>
  <c r="J99" i="8" s="1"/>
  <c r="D100" i="8"/>
  <c r="J100" i="8" s="1"/>
  <c r="D101" i="8"/>
  <c r="D92" i="8"/>
  <c r="J92" i="8" s="1"/>
  <c r="J93" i="8"/>
  <c r="J94" i="8"/>
  <c r="J95" i="8"/>
  <c r="J97" i="8"/>
  <c r="J101" i="8"/>
  <c r="H93" i="8"/>
  <c r="H94" i="8"/>
  <c r="H95" i="8"/>
  <c r="H96" i="8"/>
  <c r="H97" i="8"/>
  <c r="H98" i="8"/>
  <c r="H99" i="8"/>
  <c r="H100" i="8"/>
  <c r="H101" i="8"/>
  <c r="H92" i="8"/>
  <c r="F92" i="8"/>
  <c r="F93" i="8"/>
  <c r="F94" i="8"/>
  <c r="F95" i="8"/>
  <c r="F96" i="8"/>
  <c r="F97" i="8"/>
  <c r="F98" i="8"/>
  <c r="F99" i="8"/>
  <c r="F100" i="8"/>
  <c r="F101" i="8"/>
  <c r="B76" i="8"/>
  <c r="C99" i="8"/>
  <c r="E82" i="8"/>
  <c r="D77" i="8"/>
  <c r="D78" i="8"/>
  <c r="D79" i="8"/>
  <c r="D80" i="8"/>
  <c r="E80" i="8" s="1"/>
  <c r="D81" i="8"/>
  <c r="E81" i="8" s="1"/>
  <c r="D82" i="8"/>
  <c r="D83" i="8"/>
  <c r="D84" i="8"/>
  <c r="D85" i="8"/>
  <c r="D76" i="8"/>
  <c r="C77" i="8"/>
  <c r="C78" i="8"/>
  <c r="C79" i="8"/>
  <c r="E79" i="8" s="1"/>
  <c r="C80" i="8"/>
  <c r="C81" i="8"/>
  <c r="C82" i="8"/>
  <c r="C83" i="8"/>
  <c r="C84" i="8"/>
  <c r="C85" i="8"/>
  <c r="C76" i="8"/>
  <c r="B77" i="8"/>
  <c r="I93" i="8" s="1"/>
  <c r="B78" i="8"/>
  <c r="I94" i="8" s="1"/>
  <c r="B79" i="8"/>
  <c r="I95" i="8" s="1"/>
  <c r="B80" i="8"/>
  <c r="I96" i="8" s="1"/>
  <c r="B81" i="8"/>
  <c r="I97" i="8" s="1"/>
  <c r="B82" i="8"/>
  <c r="I98" i="8" s="1"/>
  <c r="B83" i="8"/>
  <c r="I99" i="8" s="1"/>
  <c r="B84" i="8"/>
  <c r="E84" i="8" s="1"/>
  <c r="B85" i="8"/>
  <c r="I101" i="8" s="1"/>
  <c r="G64" i="8"/>
  <c r="F61" i="8"/>
  <c r="E62" i="8"/>
  <c r="G62" i="8" s="1"/>
  <c r="E63" i="8"/>
  <c r="G63" i="8" s="1"/>
  <c r="E64" i="8"/>
  <c r="E65" i="8"/>
  <c r="E66" i="8"/>
  <c r="E67" i="8"/>
  <c r="E68" i="8"/>
  <c r="E69" i="8"/>
  <c r="E70" i="8"/>
  <c r="G70" i="8" s="1"/>
  <c r="E61" i="8"/>
  <c r="G61" i="8" s="1"/>
  <c r="D62" i="8"/>
  <c r="D63" i="8"/>
  <c r="D64" i="8"/>
  <c r="D65" i="8"/>
  <c r="D66" i="8"/>
  <c r="D67" i="8"/>
  <c r="F67" i="8" s="1"/>
  <c r="D68" i="8"/>
  <c r="F68" i="8" s="1"/>
  <c r="D69" i="8"/>
  <c r="F69" i="8" s="1"/>
  <c r="D70" i="8"/>
  <c r="D61" i="8"/>
  <c r="B47" i="8"/>
  <c r="B61" i="8" s="1"/>
  <c r="B92" i="8" s="1"/>
  <c r="C62" i="8"/>
  <c r="B63" i="8"/>
  <c r="B94" i="8" s="1"/>
  <c r="C63" i="8"/>
  <c r="B64" i="8"/>
  <c r="B95" i="8" s="1"/>
  <c r="C64" i="8"/>
  <c r="B67" i="8"/>
  <c r="B68" i="8"/>
  <c r="C70" i="8"/>
  <c r="C61" i="8"/>
  <c r="H47" i="8"/>
  <c r="F53" i="8"/>
  <c r="E48" i="8"/>
  <c r="E49" i="8"/>
  <c r="D52" i="8"/>
  <c r="D53" i="8"/>
  <c r="E55" i="8"/>
  <c r="E56" i="8"/>
  <c r="E47" i="8"/>
  <c r="D47" i="8"/>
  <c r="E92" i="8" s="1"/>
  <c r="C48" i="8"/>
  <c r="H48" i="8" s="1"/>
  <c r="C49" i="8"/>
  <c r="H49" i="8" s="1"/>
  <c r="C50" i="8"/>
  <c r="C51" i="8"/>
  <c r="C65" i="8" s="1"/>
  <c r="G65" i="8" s="1"/>
  <c r="C52" i="8"/>
  <c r="C66" i="8" s="1"/>
  <c r="G66" i="8" s="1"/>
  <c r="C53" i="8"/>
  <c r="C54" i="8"/>
  <c r="C55" i="8"/>
  <c r="C69" i="8" s="1"/>
  <c r="C56" i="8"/>
  <c r="H56" i="8" s="1"/>
  <c r="C47" i="8"/>
  <c r="C33" i="8"/>
  <c r="B48" i="8"/>
  <c r="B49" i="8"/>
  <c r="B50" i="8"/>
  <c r="B51" i="8"/>
  <c r="B65" i="8" s="1"/>
  <c r="B52" i="8"/>
  <c r="B66" i="8" s="1"/>
  <c r="B97" i="8" s="1"/>
  <c r="B53" i="8"/>
  <c r="B54" i="8"/>
  <c r="B55" i="8"/>
  <c r="B69" i="8" s="1"/>
  <c r="B56" i="8"/>
  <c r="D34" i="8"/>
  <c r="D40" i="8"/>
  <c r="D41" i="8"/>
  <c r="D42" i="8"/>
  <c r="F42" i="8" s="1"/>
  <c r="C34" i="8"/>
  <c r="C35" i="8"/>
  <c r="C36" i="8"/>
  <c r="E50" i="8" s="1"/>
  <c r="C37" i="8"/>
  <c r="C96" i="8" s="1"/>
  <c r="C38" i="8"/>
  <c r="C97" i="8" s="1"/>
  <c r="C39" i="8"/>
  <c r="D39" i="8" s="1"/>
  <c r="C40" i="8"/>
  <c r="E54" i="8" s="1"/>
  <c r="C41" i="8"/>
  <c r="C42" i="8"/>
  <c r="C19" i="8"/>
  <c r="B34" i="8"/>
  <c r="D48" i="8" s="1"/>
  <c r="B35" i="8"/>
  <c r="D49" i="8" s="1"/>
  <c r="B36" i="8"/>
  <c r="D36" i="8" s="1"/>
  <c r="B37" i="8"/>
  <c r="D51" i="8" s="1"/>
  <c r="B38" i="8"/>
  <c r="D38" i="8" s="1"/>
  <c r="F38" i="8" s="1"/>
  <c r="B39" i="8"/>
  <c r="B40" i="8"/>
  <c r="D54" i="8" s="1"/>
  <c r="B41" i="8"/>
  <c r="D55" i="8" s="1"/>
  <c r="B42" i="8"/>
  <c r="D56" i="8" s="1"/>
  <c r="B33" i="8"/>
  <c r="D33" i="8" s="1"/>
  <c r="B19" i="8"/>
  <c r="H20" i="8"/>
  <c r="H26" i="8"/>
  <c r="H27" i="8"/>
  <c r="H28" i="8"/>
  <c r="G24" i="8"/>
  <c r="I24" i="8" s="1"/>
  <c r="G25" i="8"/>
  <c r="I25" i="8" s="1"/>
  <c r="G26" i="8"/>
  <c r="I26" i="8" s="1"/>
  <c r="G27" i="8"/>
  <c r="I27" i="8" s="1"/>
  <c r="F24" i="8"/>
  <c r="E38" i="8" s="1"/>
  <c r="F25" i="8"/>
  <c r="E39" i="8" s="1"/>
  <c r="F26" i="8"/>
  <c r="E40" i="8" s="1"/>
  <c r="E20" i="8"/>
  <c r="E21" i="8"/>
  <c r="E22" i="8"/>
  <c r="E23" i="8"/>
  <c r="E24" i="8"/>
  <c r="E25" i="8"/>
  <c r="H25" i="8" s="1"/>
  <c r="E26" i="8"/>
  <c r="E27" i="8"/>
  <c r="E28" i="8"/>
  <c r="E19" i="8"/>
  <c r="C20" i="8"/>
  <c r="C21" i="8"/>
  <c r="H21" i="8" s="1"/>
  <c r="C22" i="8"/>
  <c r="H22" i="8" s="1"/>
  <c r="C23" i="8"/>
  <c r="H23" i="8" s="1"/>
  <c r="C24" i="8"/>
  <c r="H24" i="8" s="1"/>
  <c r="C25" i="8"/>
  <c r="C26" i="8"/>
  <c r="C27" i="8"/>
  <c r="C28" i="8"/>
  <c r="D20" i="8"/>
  <c r="D21" i="8"/>
  <c r="C94" i="8" s="1"/>
  <c r="D22" i="8"/>
  <c r="D23" i="8"/>
  <c r="G23" i="8" s="1"/>
  <c r="I23" i="8" s="1"/>
  <c r="D24" i="8"/>
  <c r="D25" i="8"/>
  <c r="D26" i="8"/>
  <c r="D27" i="8"/>
  <c r="C100" i="8" s="1"/>
  <c r="D28" i="8"/>
  <c r="D19" i="8"/>
  <c r="C92" i="8" s="1"/>
  <c r="B20" i="8"/>
  <c r="E34" i="8" s="1"/>
  <c r="B21" i="8"/>
  <c r="G21" i="8" s="1"/>
  <c r="I21" i="8" s="1"/>
  <c r="B22" i="8"/>
  <c r="G22" i="8" s="1"/>
  <c r="I22" i="8" s="1"/>
  <c r="B23" i="8"/>
  <c r="B24" i="8"/>
  <c r="B25" i="8"/>
  <c r="B26" i="8"/>
  <c r="B27" i="8"/>
  <c r="F27" i="8" s="1"/>
  <c r="E41" i="8" s="1"/>
  <c r="B28" i="8"/>
  <c r="F28" i="8" s="1"/>
  <c r="E42" i="8" s="1"/>
  <c r="D4" i="8"/>
  <c r="D5" i="8"/>
  <c r="D6" i="8"/>
  <c r="D7" i="8"/>
  <c r="D8" i="8"/>
  <c r="D9" i="8"/>
  <c r="D10" i="8"/>
  <c r="D11" i="8"/>
  <c r="D12" i="8"/>
  <c r="D3" i="8"/>
  <c r="E6" i="8"/>
  <c r="E7" i="8"/>
  <c r="C4" i="8"/>
  <c r="E4" i="8" s="1"/>
  <c r="C5" i="8"/>
  <c r="E5" i="8" s="1"/>
  <c r="C6" i="8"/>
  <c r="C7" i="8"/>
  <c r="C8" i="8"/>
  <c r="C9" i="8"/>
  <c r="C10" i="8"/>
  <c r="C11" i="8"/>
  <c r="C12" i="8"/>
  <c r="E12" i="8" s="1"/>
  <c r="C3" i="8"/>
  <c r="E3" i="8" s="1"/>
  <c r="B4" i="8"/>
  <c r="F4" i="8" s="1"/>
  <c r="B5" i="8"/>
  <c r="F5" i="8" s="1"/>
  <c r="B6" i="8"/>
  <c r="F6" i="8" s="1"/>
  <c r="B7" i="8"/>
  <c r="F7" i="8" s="1"/>
  <c r="B8" i="8"/>
  <c r="E8" i="8" s="1"/>
  <c r="B9" i="8"/>
  <c r="E9" i="8" s="1"/>
  <c r="B10" i="8"/>
  <c r="E10" i="8" s="1"/>
  <c r="B11" i="8"/>
  <c r="E11" i="8" s="1"/>
  <c r="B12" i="8"/>
  <c r="F12" i="8" s="1"/>
  <c r="B3" i="8"/>
  <c r="F3" i="8" s="1"/>
  <c r="K18" i="7"/>
  <c r="K3" i="7"/>
  <c r="G100" i="8" l="1"/>
  <c r="E100" i="8"/>
  <c r="G69" i="8"/>
  <c r="H69" i="8" s="1"/>
  <c r="H61" i="8"/>
  <c r="F41" i="8"/>
  <c r="F65" i="8"/>
  <c r="H65" i="8" s="1"/>
  <c r="B96" i="8"/>
  <c r="H54" i="8"/>
  <c r="F66" i="8"/>
  <c r="H66" i="8" s="1"/>
  <c r="F39" i="8"/>
  <c r="F40" i="8"/>
  <c r="G99" i="8"/>
  <c r="G54" i="8"/>
  <c r="I54" i="8" s="1"/>
  <c r="E99" i="8"/>
  <c r="F34" i="8"/>
  <c r="G49" i="8"/>
  <c r="I49" i="8" s="1"/>
  <c r="E94" i="8"/>
  <c r="G94" i="8"/>
  <c r="G56" i="8"/>
  <c r="I56" i="8" s="1"/>
  <c r="G48" i="8"/>
  <c r="I48" i="8" s="1"/>
  <c r="B99" i="8"/>
  <c r="E101" i="8"/>
  <c r="G101" i="8"/>
  <c r="E93" i="8"/>
  <c r="G93" i="8"/>
  <c r="B100" i="8"/>
  <c r="H50" i="8"/>
  <c r="G97" i="8"/>
  <c r="E52" i="8"/>
  <c r="F8" i="8"/>
  <c r="H52" i="8"/>
  <c r="G28" i="8"/>
  <c r="I28" i="8" s="1"/>
  <c r="G20" i="8"/>
  <c r="I20" i="8" s="1"/>
  <c r="D35" i="8"/>
  <c r="D50" i="8"/>
  <c r="F54" i="8"/>
  <c r="G55" i="8"/>
  <c r="C68" i="8"/>
  <c r="G68" i="8" s="1"/>
  <c r="H68" i="8" s="1"/>
  <c r="F63" i="8"/>
  <c r="H63" i="8" s="1"/>
  <c r="E83" i="8"/>
  <c r="C95" i="8"/>
  <c r="I100" i="8"/>
  <c r="E53" i="8"/>
  <c r="E98" i="8" s="1"/>
  <c r="H55" i="8"/>
  <c r="F11" i="8"/>
  <c r="F52" i="8"/>
  <c r="G53" i="8"/>
  <c r="C67" i="8"/>
  <c r="G67" i="8" s="1"/>
  <c r="H67" i="8" s="1"/>
  <c r="F64" i="8"/>
  <c r="H64" i="8" s="1"/>
  <c r="C101" i="8"/>
  <c r="C93" i="8"/>
  <c r="F51" i="8"/>
  <c r="G52" i="8"/>
  <c r="I52" i="8" s="1"/>
  <c r="E76" i="8"/>
  <c r="E97" i="8"/>
  <c r="G92" i="8"/>
  <c r="F10" i="8"/>
  <c r="G19" i="8"/>
  <c r="I19" i="8" s="1"/>
  <c r="F9" i="8"/>
  <c r="F50" i="8"/>
  <c r="F22" i="8"/>
  <c r="E36" i="8" s="1"/>
  <c r="F36" i="8" s="1"/>
  <c r="H19" i="8"/>
  <c r="E51" i="8"/>
  <c r="G96" i="8" s="1"/>
  <c r="F49" i="8"/>
  <c r="H51" i="8"/>
  <c r="B70" i="8"/>
  <c r="B62" i="8"/>
  <c r="E78" i="8"/>
  <c r="C98" i="8"/>
  <c r="F23" i="8"/>
  <c r="E37" i="8" s="1"/>
  <c r="G51" i="8"/>
  <c r="F21" i="8"/>
  <c r="E35" i="8" s="1"/>
  <c r="D37" i="8"/>
  <c r="F33" i="8"/>
  <c r="F56" i="8"/>
  <c r="F48" i="8"/>
  <c r="E85" i="8"/>
  <c r="E77" i="8"/>
  <c r="I92" i="8"/>
  <c r="F55" i="8"/>
  <c r="G47" i="8"/>
  <c r="I47" i="8" s="1"/>
  <c r="F47" i="8"/>
  <c r="F19" i="8"/>
  <c r="E33" i="8" s="1"/>
  <c r="F70" i="8" l="1"/>
  <c r="H70" i="8" s="1"/>
  <c r="B101" i="8"/>
  <c r="F37" i="8"/>
  <c r="B98" i="8"/>
  <c r="G98" i="8"/>
  <c r="E96" i="8"/>
  <c r="E95" i="8"/>
  <c r="G95" i="8"/>
  <c r="I51" i="8"/>
  <c r="F35" i="8"/>
  <c r="H53" i="8"/>
  <c r="I53" i="8" s="1"/>
  <c r="F62" i="8"/>
  <c r="H62" i="8" s="1"/>
  <c r="B93" i="8"/>
  <c r="G50" i="8"/>
  <c r="I50" i="8" s="1"/>
  <c r="I55" i="8"/>
</calcChain>
</file>

<file path=xl/sharedStrings.xml><?xml version="1.0" encoding="utf-8"?>
<sst xmlns="http://schemas.openxmlformats.org/spreadsheetml/2006/main" count="186" uniqueCount="65">
  <si>
    <t>Company Name</t>
  </si>
  <si>
    <t>Inventory</t>
  </si>
  <si>
    <t>Accounts Receivable, Gross</t>
  </si>
  <si>
    <t>Operating Cash</t>
  </si>
  <si>
    <t>Cost of Goods Sold</t>
  </si>
  <si>
    <t>Sales</t>
  </si>
  <si>
    <t>Total Assets</t>
  </si>
  <si>
    <t>Net Income</t>
  </si>
  <si>
    <t>PPE</t>
  </si>
  <si>
    <t>Depreciation Expense</t>
  </si>
  <si>
    <t>SGA Expense</t>
  </si>
  <si>
    <t>Allowance for Doubtful Accounts</t>
  </si>
  <si>
    <t>Non Current Assets</t>
  </si>
  <si>
    <t>Total Debt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</si>
  <si>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</si>
  <si>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</si>
  <si>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</si>
  <si>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</si>
  <si>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</si>
  <si>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</si>
  <si>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</si>
  <si>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</si>
  <si>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</si>
  <si>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</si>
  <si>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Previous Year Data</t>
  </si>
  <si>
    <t>Inventory Growth and Days Inventory Held (DIH)</t>
  </si>
  <si>
    <t>PY Inventory</t>
  </si>
  <si>
    <t>PY Cost of Goods Sold</t>
  </si>
  <si>
    <t>Inventory Growth</t>
  </si>
  <si>
    <t>DIH</t>
  </si>
  <si>
    <t>PY DIH</t>
  </si>
  <si>
    <t>Sales Growth and Inventory Growth</t>
  </si>
  <si>
    <t>PY Sales</t>
  </si>
  <si>
    <t>Sales Growth</t>
  </si>
  <si>
    <t>AR growth</t>
  </si>
  <si>
    <t>DSO</t>
  </si>
  <si>
    <t>PY DSO</t>
  </si>
  <si>
    <t>Accruals to Assets</t>
  </si>
  <si>
    <t>Accruals / Assets</t>
  </si>
  <si>
    <t>Beneish Model</t>
  </si>
  <si>
    <t>DSRI</t>
  </si>
  <si>
    <t>GMI</t>
  </si>
  <si>
    <t>AQI</t>
  </si>
  <si>
    <t>SGI</t>
  </si>
  <si>
    <t>DEPI</t>
  </si>
  <si>
    <t>SGAI</t>
  </si>
  <si>
    <t>LVGI</t>
  </si>
  <si>
    <t>TATA</t>
  </si>
  <si>
    <t>Current Year Data</t>
  </si>
  <si>
    <t>Share Price</t>
  </si>
  <si>
    <t>P/E</t>
  </si>
  <si>
    <t>P/B</t>
  </si>
  <si>
    <t>EPS</t>
  </si>
  <si>
    <t>Valuation Multiples</t>
  </si>
  <si>
    <t>Book Value per Share</t>
  </si>
  <si>
    <t>PY Net Acc. Rec.</t>
  </si>
  <si>
    <t>Net Acc. Rec.</t>
  </si>
  <si>
    <t>Allowance</t>
  </si>
  <si>
    <t>PY Allowance</t>
  </si>
  <si>
    <t>Allowance %</t>
  </si>
  <si>
    <t>PY Allowance %</t>
  </si>
  <si>
    <t>Accounts Receivable and Days sales outstanding (DSO)</t>
  </si>
  <si>
    <t>M-Score</t>
  </si>
  <si>
    <t>% Change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</si>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</sst>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1" fontId="0" fillId="0" borderId="0" xfId="0" applyNumberFormat="1"/>
    <xf numFmtId="0" fontId="2" fillId="2" borderId="0" xfId="0" applyFont="1" applyFill="1"/>
    <xf numFmtId="9" fontId="0" fillId="0" borderId="0" xfId="2" applyFont="1"/>
    <xf numFmtId="164" fontId="0" fillId="0" borderId="0" xfId="1" applyNumberFormat="1" applyFont="1"/>
    <xf numFmtId="10" fontId="0" fillId="0" borderId="0" xfId="2" applyNumberFormat="1" applyFont="1"/>
    <xf numFmtId="10" fontId="0" fillId="0" borderId="0" xfId="2" applyNumberFormat="1" applyFont="1" applyFill="1" applyBorder="1" applyAlignme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2" xfId="2" applyFont="1" applyBorder="1"/>
    <xf numFmtId="1" fontId="2" fillId="0" borderId="3" xfId="0" applyNumberFormat="1" applyFont="1" applyBorder="1"/>
    <xf numFmtId="0" fontId="2" fillId="0" borderId="1" xfId="0" applyFont="1" applyBorder="1"/>
    <xf numFmtId="44" fontId="0" fillId="0" borderId="0" xfId="3" applyFont="1"/>
    <xf numFmtId="165" fontId="0" fillId="0" borderId="0" xfId="3" applyNumberFormat="1" applyFont="1"/>
    <xf numFmtId="0" fontId="2" fillId="0" borderId="0" xfId="0" applyFont="1"/>
    <xf numFmtId="9" fontId="0" fillId="0" borderId="0" xfId="0" applyNumberFormat="1"/>
    <xf numFmtId="2" fontId="0" fillId="0" borderId="0" xfId="2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12" formatCode="&quot;$&quot;#,##0.00_);[Red]\(&quot;$&quot;#,##0.00\)"/>
      <fill>
        <patternFill patternType="solid">
          <fgColor indexed="64"/>
          <bgColor rgb="FFF7F7F8"/>
        </patternFill>
      </fill>
      <alignment horizontal="general" vertical="center" textRotation="0" wrapText="1" indent="0" justifyLastLine="0" shrinkToFit="0" readingOrder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D09BA9-8413-48D2-8712-C423D1FFD2AB}" name="Current_Year_Data" displayName="Current_Year_Data" ref="A2:Q12" totalsRowShown="0">
  <autoFilter ref="A2:Q12" xr:uid="{6DD09BA9-8413-48D2-8712-C423D1FFD2AB}"/>
  <tableColumns count="17">
    <tableColumn id="1" xr3:uid="{8D91365C-F36F-4332-ABAC-6884747AD7D8}" name="Company Name"/>
    <tableColumn id="2" xr3:uid="{50E1B9F1-93F5-4EA2-8280-B9C7564C4731}" name="Sales" dataDxfId="7"/>
    <tableColumn id="3" xr3:uid="{ADBF9503-5423-481E-8703-0BE4996FACBD}" name="Accounts Receivable, Gross"/>
    <tableColumn id="4" xr3:uid="{4133510C-AF31-43CE-8924-78A06BD49C01}" name="Allowance for Doubtful Accounts"/>
    <tableColumn id="5" xr3:uid="{1389E42D-A925-4D1E-8BC6-35896989B6F4}" name="Cost of Goods Sold"/>
    <tableColumn id="6" xr3:uid="{6379CC62-6285-45EF-ABD4-E47B238C5EF1}" name="Inventory"/>
    <tableColumn id="7" xr3:uid="{0AC20580-F1B0-4192-B404-0137E49FCE16}" name="Total Assets"/>
    <tableColumn id="8" xr3:uid="{55E157B1-252A-4F68-B141-2A8D520BCA12}" name="Non Current Assets"/>
    <tableColumn id="9" xr3:uid="{F6B009D4-C666-4A66-9ED4-E9A00E9AC644}" name="PPE"/>
    <tableColumn id="10" xr3:uid="{1B86D8C9-081A-4BAD-BC06-FC8BF310F171}" name="Total Debt"/>
    <tableColumn id="11" xr3:uid="{E9B2CA81-E322-4694-A93E-5A6A4044B3EC}" name="Depreciation Expense"/>
    <tableColumn id="12" xr3:uid="{0CE78B26-8CB0-422C-8944-35B8DA7B9E6F}" name="SGA Expense"/>
    <tableColumn id="13" xr3:uid="{D4026045-A050-42F3-B545-2BAF6B6259A4}" name="Operating Cash"/>
    <tableColumn id="14" xr3:uid="{32BF0551-2B58-40EE-8C67-4EEA3A0264EE}" name="Net Income"/>
    <tableColumn id="15" xr3:uid="{60E5FCAC-FFEB-46B2-846B-FC5699BC485E}" name="Share Price" dataDxfId="6"/>
    <tableColumn id="16" xr3:uid="{A786A251-F15D-4AD2-BDE5-CBF50BC57EFB}" name="EPS" dataDxfId="5"/>
    <tableColumn id="17" xr3:uid="{D77655D9-08AD-435C-B7D5-0FB8C74C97BF}" name="Book Value per Shar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6A037E-1066-449E-A4F5-65151CD632AE}" name="Previous_Year_Data" displayName="Previous_Year_Data" ref="A17:Q27" totalsRowShown="0">
  <autoFilter ref="A17:Q27" xr:uid="{3C6A037E-1066-449E-A4F5-65151CD632AE}"/>
  <tableColumns count="17">
    <tableColumn id="1" xr3:uid="{CBF6ED14-C7D9-4E0E-B2B7-8F67F010BF10}" name="Company Name"/>
    <tableColumn id="2" xr3:uid="{B0E3F276-97EC-4302-A9DA-4E84F3B6EE0E}" name="Sales" dataDxfId="3"/>
    <tableColumn id="3" xr3:uid="{150FBFAD-5962-46A3-80C1-E8A77D3F99B8}" name="Accounts Receivable, Gross"/>
    <tableColumn id="4" xr3:uid="{5BCF843B-2F73-4DA4-BD36-0A4C37AB85EE}" name="Allowance for Doubtful Accounts"/>
    <tableColumn id="5" xr3:uid="{C1376ABC-0545-449B-A322-E7D1C6CDBF3B}" name="Cost of Goods Sold"/>
    <tableColumn id="6" xr3:uid="{3CA1B524-5D6B-432B-88E1-76395B5842BB}" name="Inventory"/>
    <tableColumn id="7" xr3:uid="{A909BC6A-494F-4A7F-979E-16358A52BEEE}" name="Total Assets"/>
    <tableColumn id="8" xr3:uid="{791B72A6-95A3-408A-897B-4550217A2226}" name="Non Current Assets"/>
    <tableColumn id="9" xr3:uid="{2FEAD1FE-A5F5-4EBA-BA98-6C7DAA7CAD97}" name="PPE"/>
    <tableColumn id="10" xr3:uid="{FF822C33-0369-4AC0-A297-819DB088DBBB}" name="Total Debt"/>
    <tableColumn id="11" xr3:uid="{9B48311D-C3BC-45C3-8247-18239C30A9D7}" name="Depreciation Expense"/>
    <tableColumn id="12" xr3:uid="{C5F211B2-F4D4-465B-AC26-4E0F251B8641}" name="SGA Expense"/>
    <tableColumn id="13" xr3:uid="{8F2B4386-640F-48AB-A3FA-27426CF01090}" name="Operating Cash"/>
    <tableColumn id="14" xr3:uid="{9660D4C7-947E-408B-A1C2-146A3EB0DD4A}" name="Net Income"/>
    <tableColumn id="15" xr3:uid="{EF2745FC-EC26-4C87-B30E-D57CE8012333}" name="Share Price" dataDxfId="2"/>
    <tableColumn id="16" xr3:uid="{4B6579A0-BF40-4ECB-BE2C-792A818FE7D2}" name="EPS" dataDxfId="1"/>
    <tableColumn id="17" xr3:uid="{B2C2C070-5627-42D4-8FDC-BF829180C6F5}" name="Book Value per Shar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ADD9-11C0-4E83-A7FA-00BD40F007AE}">
  <dimension ref="A1:Q104"/>
  <sheetViews>
    <sheetView zoomScale="90" zoomScaleNormal="90" workbookViewId="0">
      <selection activeCell="B19" sqref="A19:B19"/>
    </sheetView>
  </sheetViews>
  <sheetFormatPr baseColWidth="10" defaultColWidth="8.83203125" defaultRowHeight="15" x14ac:dyDescent="0.2"/>
  <cols>
    <col min="1" max="1" width="15.5" customWidth="1"/>
    <col min="2" max="2" width="13.33203125" bestFit="1" customWidth="1"/>
    <col min="3" max="3" width="24" customWidth="1"/>
    <col min="4" max="4" width="28.6640625" customWidth="1"/>
    <col min="5" max="5" width="17.33203125" customWidth="1"/>
    <col min="6" max="6" width="11.6640625" bestFit="1" customWidth="1"/>
    <col min="7" max="7" width="17.6640625" customWidth="1"/>
    <col min="8" max="8" width="18.33203125" customWidth="1"/>
    <col min="9" max="9" width="18.83203125" customWidth="1"/>
    <col min="10" max="10" width="11.6640625" bestFit="1" customWidth="1"/>
    <col min="11" max="11" width="19.83203125" customWidth="1"/>
    <col min="12" max="12" width="12.83203125" customWidth="1"/>
    <col min="13" max="13" width="14.6640625" customWidth="1"/>
    <col min="14" max="14" width="12" customWidth="1"/>
    <col min="15" max="15" width="12.1640625" bestFit="1" customWidth="1"/>
    <col min="17" max="17" width="20.6640625" bestFit="1" customWidth="1"/>
  </cols>
  <sheetData>
    <row r="1" spans="1:17" ht="21" x14ac:dyDescent="0.25">
      <c r="A1" s="8" t="s">
        <v>48</v>
      </c>
    </row>
    <row r="2" spans="1:17" x14ac:dyDescent="0.2">
      <c r="A2" t="s">
        <v>0</v>
      </c>
      <c r="B2" t="s">
        <v>5</v>
      </c>
      <c r="C2" t="s">
        <v>2</v>
      </c>
      <c r="D2" t="s">
        <v>11</v>
      </c>
      <c r="E2" t="s">
        <v>4</v>
      </c>
      <c r="F2" t="s">
        <v>1</v>
      </c>
      <c r="G2" t="s">
        <v>6</v>
      </c>
      <c r="H2" t="s">
        <v>12</v>
      </c>
      <c r="I2" t="s">
        <v>8</v>
      </c>
      <c r="J2" t="s">
        <v>13</v>
      </c>
      <c r="K2" t="s">
        <v>9</v>
      </c>
      <c r="L2" t="s">
        <v>10</v>
      </c>
      <c r="M2" t="s">
        <v>3</v>
      </c>
      <c r="N2" t="s">
        <v>7</v>
      </c>
      <c r="O2" t="s">
        <v>49</v>
      </c>
      <c r="P2" t="s">
        <v>52</v>
      </c>
      <c r="Q2" t="s">
        <v>54</v>
      </c>
    </row>
    <row r="3" spans="1:17" x14ac:dyDescent="0.2">
      <c r="A3" t="s">
        <v>14</v>
      </c>
      <c r="B3" s="1">
        <v>394328000</v>
      </c>
      <c r="C3">
        <v>51506000</v>
      </c>
      <c r="D3">
        <v>-1200000</v>
      </c>
      <c r="E3">
        <v>223546000</v>
      </c>
      <c r="F3">
        <v>10580000</v>
      </c>
      <c r="G3">
        <v>351002000</v>
      </c>
      <c r="H3">
        <v>216166000</v>
      </c>
      <c r="I3">
        <v>39440000</v>
      </c>
      <c r="J3">
        <v>124719000</v>
      </c>
      <c r="K3">
        <f>70283000-66760000</f>
        <v>3523000</v>
      </c>
      <c r="L3">
        <v>25094000</v>
      </c>
      <c r="M3">
        <v>122151000</v>
      </c>
      <c r="N3">
        <v>99803000</v>
      </c>
      <c r="O3">
        <v>25.5</v>
      </c>
      <c r="P3">
        <v>2.75</v>
      </c>
      <c r="Q3">
        <v>15.3</v>
      </c>
    </row>
    <row r="4" spans="1:17" x14ac:dyDescent="0.2">
      <c r="A4" t="s">
        <v>15</v>
      </c>
      <c r="B4" s="1">
        <v>513983000</v>
      </c>
      <c r="C4">
        <v>33891000</v>
      </c>
      <c r="D4">
        <v>-1000000</v>
      </c>
      <c r="E4">
        <v>446343000</v>
      </c>
      <c r="F4">
        <v>32640000</v>
      </c>
      <c r="G4">
        <v>420549000</v>
      </c>
      <c r="H4">
        <v>258969000</v>
      </c>
      <c r="I4">
        <v>216363000</v>
      </c>
      <c r="J4">
        <v>282304000</v>
      </c>
      <c r="K4">
        <v>41921000</v>
      </c>
      <c r="L4">
        <v>54129000</v>
      </c>
      <c r="M4">
        <v>36752000</v>
      </c>
      <c r="N4">
        <v>-2722000</v>
      </c>
      <c r="O4">
        <v>20.25</v>
      </c>
      <c r="P4">
        <v>1.5</v>
      </c>
      <c r="Q4">
        <v>10.199999999999999</v>
      </c>
    </row>
    <row r="5" spans="1:17" x14ac:dyDescent="0.2">
      <c r="A5" t="s">
        <v>16</v>
      </c>
      <c r="B5" s="1">
        <v>21216540</v>
      </c>
      <c r="C5">
        <v>2232500</v>
      </c>
      <c r="D5">
        <v>0</v>
      </c>
      <c r="E5">
        <v>20473300</v>
      </c>
      <c r="F5">
        <v>4579200</v>
      </c>
      <c r="G5">
        <v>30231000</v>
      </c>
      <c r="H5">
        <v>12040800</v>
      </c>
      <c r="I5">
        <v>2047500</v>
      </c>
      <c r="J5">
        <v>20090400</v>
      </c>
      <c r="K5">
        <v>583600</v>
      </c>
      <c r="L5">
        <v>945900</v>
      </c>
      <c r="M5">
        <v>2086800</v>
      </c>
      <c r="N5">
        <v>5624200</v>
      </c>
      <c r="O5">
        <v>35</v>
      </c>
      <c r="P5">
        <v>1</v>
      </c>
      <c r="Q5">
        <v>5.5</v>
      </c>
    </row>
    <row r="6" spans="1:17" x14ac:dyDescent="0.2">
      <c r="A6" t="s">
        <v>17</v>
      </c>
      <c r="B6" s="1">
        <v>33203000</v>
      </c>
      <c r="C6">
        <v>2958000</v>
      </c>
      <c r="D6">
        <v>-50000</v>
      </c>
      <c r="E6">
        <v>11108000</v>
      </c>
      <c r="F6">
        <v>1725000</v>
      </c>
      <c r="G6">
        <v>73249000</v>
      </c>
      <c r="H6">
        <v>54745000</v>
      </c>
      <c r="I6">
        <v>2223000</v>
      </c>
      <c r="J6">
        <v>50540000</v>
      </c>
      <c r="K6">
        <v>4984000</v>
      </c>
      <c r="L6">
        <v>1382000</v>
      </c>
      <c r="M6">
        <v>16736000</v>
      </c>
      <c r="N6">
        <v>11223000</v>
      </c>
      <c r="O6">
        <v>35</v>
      </c>
      <c r="P6">
        <v>3</v>
      </c>
      <c r="Q6">
        <v>25</v>
      </c>
    </row>
    <row r="7" spans="1:17" x14ac:dyDescent="0.2">
      <c r="A7" t="s">
        <v>18</v>
      </c>
      <c r="B7" s="1">
        <v>853062000</v>
      </c>
      <c r="C7">
        <v>32813000</v>
      </c>
      <c r="D7">
        <v>-1150000</v>
      </c>
      <c r="E7">
        <v>549450000</v>
      </c>
      <c r="F7">
        <v>30087000</v>
      </c>
      <c r="G7">
        <v>1695553000</v>
      </c>
      <c r="H7">
        <v>1057018000</v>
      </c>
      <c r="I7">
        <v>253451000</v>
      </c>
      <c r="J7">
        <v>613360000</v>
      </c>
      <c r="K7">
        <v>48065000</v>
      </c>
      <c r="L7">
        <v>151721000</v>
      </c>
      <c r="M7">
        <v>142759000</v>
      </c>
      <c r="N7">
        <v>61959000</v>
      </c>
      <c r="O7">
        <v>42.5</v>
      </c>
      <c r="P7">
        <v>4</v>
      </c>
      <c r="Q7">
        <v>30</v>
      </c>
    </row>
    <row r="8" spans="1:17" x14ac:dyDescent="0.2">
      <c r="A8" t="s">
        <v>19</v>
      </c>
      <c r="B8" s="1">
        <v>282836000</v>
      </c>
      <c r="C8">
        <v>41012000</v>
      </c>
      <c r="D8">
        <v>-754000</v>
      </c>
      <c r="E8">
        <v>126203000</v>
      </c>
      <c r="F8">
        <v>6470000</v>
      </c>
      <c r="G8">
        <v>365264000</v>
      </c>
      <c r="H8">
        <v>200469000</v>
      </c>
      <c r="I8">
        <v>127049000</v>
      </c>
      <c r="J8">
        <v>109120000</v>
      </c>
      <c r="K8">
        <v>15928000</v>
      </c>
      <c r="L8">
        <v>42291000</v>
      </c>
      <c r="M8">
        <v>91495000</v>
      </c>
      <c r="N8">
        <v>59972000</v>
      </c>
      <c r="O8">
        <v>18.75</v>
      </c>
      <c r="P8">
        <v>1.25</v>
      </c>
      <c r="Q8">
        <v>7.5</v>
      </c>
    </row>
    <row r="9" spans="1:17" x14ac:dyDescent="0.2">
      <c r="A9" t="s">
        <v>20</v>
      </c>
      <c r="B9" s="1">
        <v>116609000</v>
      </c>
      <c r="C9">
        <v>13466000</v>
      </c>
      <c r="D9">
        <v>-400000</v>
      </c>
      <c r="E9">
        <v>25249000</v>
      </c>
      <c r="F9">
        <v>4225301</v>
      </c>
      <c r="G9">
        <v>185737000</v>
      </c>
      <c r="H9">
        <v>129178000</v>
      </c>
      <c r="I9">
        <v>92191000</v>
      </c>
      <c r="J9">
        <v>60014000</v>
      </c>
      <c r="K9">
        <v>8686000</v>
      </c>
      <c r="L9">
        <v>27078000</v>
      </c>
      <c r="M9">
        <v>40475000</v>
      </c>
      <c r="N9">
        <v>23200000</v>
      </c>
      <c r="O9">
        <v>27</v>
      </c>
      <c r="P9">
        <v>2.25</v>
      </c>
      <c r="Q9">
        <v>20</v>
      </c>
    </row>
    <row r="10" spans="1:17" x14ac:dyDescent="0.2">
      <c r="A10" t="s">
        <v>21</v>
      </c>
      <c r="B10" s="1">
        <v>198270000</v>
      </c>
      <c r="C10">
        <v>35894000</v>
      </c>
      <c r="D10">
        <v>-633000</v>
      </c>
      <c r="E10">
        <v>62650000</v>
      </c>
      <c r="F10">
        <v>3742000</v>
      </c>
      <c r="G10">
        <v>364840000</v>
      </c>
      <c r="H10">
        <v>195156000</v>
      </c>
      <c r="I10">
        <v>87546000</v>
      </c>
      <c r="J10">
        <v>198298000</v>
      </c>
      <c r="K10">
        <v>14460000</v>
      </c>
      <c r="L10">
        <v>27725000</v>
      </c>
      <c r="M10">
        <v>89035000</v>
      </c>
      <c r="N10">
        <v>72738000</v>
      </c>
      <c r="O10">
        <v>21.5</v>
      </c>
      <c r="P10">
        <v>1.75</v>
      </c>
      <c r="Q10">
        <v>8</v>
      </c>
    </row>
    <row r="11" spans="1:17" x14ac:dyDescent="0.2">
      <c r="A11" t="s">
        <v>22</v>
      </c>
      <c r="B11" s="1">
        <v>26974000</v>
      </c>
      <c r="C11">
        <v>3827000</v>
      </c>
      <c r="D11">
        <v>-100000</v>
      </c>
      <c r="E11">
        <v>16618000</v>
      </c>
      <c r="F11">
        <v>3159000</v>
      </c>
      <c r="G11">
        <v>41182000</v>
      </c>
      <c r="H11">
        <v>18109000</v>
      </c>
      <c r="I11">
        <v>4845000</v>
      </c>
      <c r="J11">
        <v>19081000</v>
      </c>
      <c r="K11">
        <v>1544000</v>
      </c>
      <c r="L11">
        <v>2440000</v>
      </c>
      <c r="M11">
        <v>5641000</v>
      </c>
      <c r="N11">
        <v>4368000</v>
      </c>
      <c r="O11">
        <v>32.75</v>
      </c>
      <c r="P11">
        <v>3.5</v>
      </c>
      <c r="Q11">
        <v>22</v>
      </c>
    </row>
    <row r="12" spans="1:17" x14ac:dyDescent="0.2">
      <c r="A12" t="s">
        <v>23</v>
      </c>
      <c r="B12" s="1">
        <v>42440000</v>
      </c>
      <c r="C12">
        <v>6315000</v>
      </c>
      <c r="D12">
        <v>-362000</v>
      </c>
      <c r="E12">
        <v>8877000</v>
      </c>
      <c r="F12">
        <v>1542000</v>
      </c>
      <c r="G12">
        <v>109297000</v>
      </c>
      <c r="H12">
        <v>77664000</v>
      </c>
      <c r="I12">
        <v>9716000</v>
      </c>
      <c r="J12">
        <v>115065000</v>
      </c>
      <c r="K12">
        <v>3122000</v>
      </c>
      <c r="L12">
        <v>9364000</v>
      </c>
      <c r="M12">
        <v>9539000</v>
      </c>
      <c r="N12">
        <v>6717000</v>
      </c>
      <c r="O12">
        <v>38.25</v>
      </c>
      <c r="P12">
        <v>4.25</v>
      </c>
      <c r="Q12">
        <v>28.5</v>
      </c>
    </row>
    <row r="16" spans="1:17" ht="21" x14ac:dyDescent="0.25">
      <c r="A16" s="8" t="s">
        <v>24</v>
      </c>
    </row>
    <row r="17" spans="1:17" x14ac:dyDescent="0.2">
      <c r="A17" t="s">
        <v>0</v>
      </c>
      <c r="B17" t="s">
        <v>5</v>
      </c>
      <c r="C17" t="s">
        <v>2</v>
      </c>
      <c r="D17" t="s">
        <v>11</v>
      </c>
      <c r="E17" t="s">
        <v>4</v>
      </c>
      <c r="F17" t="s">
        <v>1</v>
      </c>
      <c r="G17" t="s">
        <v>6</v>
      </c>
      <c r="H17" t="s">
        <v>12</v>
      </c>
      <c r="I17" t="s">
        <v>8</v>
      </c>
      <c r="J17" t="s">
        <v>13</v>
      </c>
      <c r="K17" t="s">
        <v>9</v>
      </c>
      <c r="L17" t="s">
        <v>10</v>
      </c>
      <c r="M17" t="s">
        <v>3</v>
      </c>
      <c r="N17" t="s">
        <v>7</v>
      </c>
      <c r="O17" t="s">
        <v>49</v>
      </c>
      <c r="P17" t="s">
        <v>52</v>
      </c>
      <c r="Q17" t="s">
        <v>54</v>
      </c>
    </row>
    <row r="18" spans="1:17" x14ac:dyDescent="0.2">
      <c r="A18" t="s">
        <v>14</v>
      </c>
      <c r="B18" s="1">
        <v>365817000</v>
      </c>
      <c r="C18">
        <v>37445000</v>
      </c>
      <c r="D18">
        <v>-1000000</v>
      </c>
      <c r="E18">
        <v>212981000</v>
      </c>
      <c r="F18">
        <v>9061000</v>
      </c>
      <c r="G18">
        <v>323888000</v>
      </c>
      <c r="H18">
        <v>180175000</v>
      </c>
      <c r="I18">
        <v>36766000</v>
      </c>
      <c r="J18">
        <v>112436000</v>
      </c>
      <c r="K18">
        <f>66760000-58579000</f>
        <v>8181000</v>
      </c>
      <c r="L18">
        <v>21914000</v>
      </c>
      <c r="M18">
        <v>104038000</v>
      </c>
      <c r="N18">
        <v>94680000</v>
      </c>
      <c r="O18">
        <v>24</v>
      </c>
      <c r="P18">
        <v>2.5</v>
      </c>
      <c r="Q18">
        <v>14</v>
      </c>
    </row>
    <row r="19" spans="1:17" x14ac:dyDescent="0.2">
      <c r="A19" t="s">
        <v>15</v>
      </c>
      <c r="B19" s="1">
        <v>469822000</v>
      </c>
      <c r="C19">
        <v>25542000</v>
      </c>
      <c r="D19">
        <v>-1000000</v>
      </c>
      <c r="E19">
        <v>403507000</v>
      </c>
      <c r="F19">
        <v>27765000</v>
      </c>
      <c r="G19">
        <v>321195000</v>
      </c>
      <c r="H19">
        <v>188462000</v>
      </c>
      <c r="I19">
        <v>150667000</v>
      </c>
      <c r="J19">
        <v>227791000</v>
      </c>
      <c r="K19">
        <v>34296000</v>
      </c>
      <c r="L19">
        <v>41374000</v>
      </c>
      <c r="M19">
        <v>46327000</v>
      </c>
      <c r="N19">
        <v>33364000</v>
      </c>
      <c r="O19">
        <v>18.5</v>
      </c>
      <c r="P19">
        <v>1.25</v>
      </c>
      <c r="Q19">
        <v>9</v>
      </c>
    </row>
    <row r="20" spans="1:17" x14ac:dyDescent="0.2">
      <c r="A20" t="s">
        <v>16</v>
      </c>
      <c r="B20" s="1">
        <v>18611000</v>
      </c>
      <c r="C20">
        <v>1616100</v>
      </c>
      <c r="D20">
        <v>0</v>
      </c>
      <c r="E20">
        <v>10802000</v>
      </c>
      <c r="F20">
        <v>3569400</v>
      </c>
      <c r="G20">
        <v>27267400</v>
      </c>
      <c r="H20">
        <v>11337400</v>
      </c>
      <c r="I20">
        <v>1415200</v>
      </c>
      <c r="J20">
        <v>13402000</v>
      </c>
      <c r="K20">
        <v>471000</v>
      </c>
      <c r="L20">
        <v>725600</v>
      </c>
      <c r="M20">
        <v>2445800</v>
      </c>
      <c r="N20">
        <v>5883200</v>
      </c>
      <c r="O20">
        <v>30</v>
      </c>
      <c r="P20">
        <v>1</v>
      </c>
      <c r="Q20">
        <v>7</v>
      </c>
    </row>
    <row r="21" spans="1:17" x14ac:dyDescent="0.2">
      <c r="A21" t="s">
        <v>17</v>
      </c>
      <c r="B21" s="1">
        <v>27450000</v>
      </c>
      <c r="C21">
        <v>4668000</v>
      </c>
      <c r="D21">
        <v>-59700</v>
      </c>
      <c r="E21">
        <v>10606000</v>
      </c>
      <c r="F21">
        <v>1497000</v>
      </c>
      <c r="G21">
        <v>75570000</v>
      </c>
      <c r="H21">
        <v>58984000</v>
      </c>
      <c r="I21">
        <v>2348000</v>
      </c>
      <c r="J21">
        <v>50581000</v>
      </c>
      <c r="K21">
        <v>6041000</v>
      </c>
      <c r="L21">
        <v>1347000</v>
      </c>
      <c r="M21">
        <v>13764000</v>
      </c>
      <c r="N21">
        <v>6437000</v>
      </c>
      <c r="O21">
        <v>33.5</v>
      </c>
      <c r="P21">
        <v>2.8</v>
      </c>
      <c r="Q21">
        <v>23.5</v>
      </c>
    </row>
    <row r="22" spans="1:17" x14ac:dyDescent="0.2">
      <c r="A22" t="s">
        <v>18</v>
      </c>
      <c r="B22" s="1">
        <v>717289000</v>
      </c>
      <c r="C22">
        <v>27076000</v>
      </c>
      <c r="D22">
        <v>-850000</v>
      </c>
      <c r="E22">
        <v>421205000</v>
      </c>
      <c r="F22">
        <v>27858000</v>
      </c>
      <c r="G22">
        <v>1690218000</v>
      </c>
      <c r="H22">
        <v>1046858000</v>
      </c>
      <c r="I22">
        <v>219452000</v>
      </c>
      <c r="J22">
        <v>606584000</v>
      </c>
      <c r="K22">
        <v>47909000</v>
      </c>
      <c r="L22">
        <v>136743000</v>
      </c>
      <c r="M22">
        <v>231786000</v>
      </c>
      <c r="N22">
        <v>150308000</v>
      </c>
      <c r="O22">
        <v>45</v>
      </c>
      <c r="P22">
        <v>4.5</v>
      </c>
      <c r="Q22">
        <v>32.5</v>
      </c>
    </row>
    <row r="23" spans="1:17" x14ac:dyDescent="0.2">
      <c r="A23" t="s">
        <v>19</v>
      </c>
      <c r="B23" s="1">
        <v>257637000</v>
      </c>
      <c r="C23">
        <v>39854000</v>
      </c>
      <c r="D23">
        <v>-550000</v>
      </c>
      <c r="E23">
        <v>110939000</v>
      </c>
      <c r="F23">
        <v>5470000</v>
      </c>
      <c r="G23">
        <v>359268000</v>
      </c>
      <c r="H23">
        <v>171124000</v>
      </c>
      <c r="I23">
        <v>110557000</v>
      </c>
      <c r="J23">
        <v>107633000</v>
      </c>
      <c r="K23">
        <v>12441000</v>
      </c>
      <c r="L23">
        <v>36422000</v>
      </c>
      <c r="M23">
        <v>91652000</v>
      </c>
      <c r="N23">
        <v>76033000</v>
      </c>
      <c r="O23">
        <v>26.5</v>
      </c>
      <c r="P23">
        <v>2</v>
      </c>
      <c r="Q23">
        <v>18.5</v>
      </c>
    </row>
    <row r="24" spans="1:17" x14ac:dyDescent="0.2">
      <c r="A24" t="s">
        <v>20</v>
      </c>
      <c r="B24" s="1">
        <v>117929000</v>
      </c>
      <c r="C24">
        <v>14039000</v>
      </c>
      <c r="D24">
        <v>-450000</v>
      </c>
      <c r="E24">
        <v>22649000</v>
      </c>
      <c r="F24">
        <v>3746500</v>
      </c>
      <c r="G24">
        <v>165987000</v>
      </c>
      <c r="H24">
        <v>99321000</v>
      </c>
      <c r="I24">
        <v>69964000</v>
      </c>
      <c r="J24">
        <v>41108000</v>
      </c>
      <c r="K24">
        <v>7967000</v>
      </c>
      <c r="L24">
        <v>23872000</v>
      </c>
      <c r="M24">
        <v>57683000</v>
      </c>
      <c r="N24">
        <v>39370000</v>
      </c>
      <c r="O24">
        <v>28</v>
      </c>
      <c r="P24">
        <v>2.2000000000000002</v>
      </c>
      <c r="Q24">
        <v>16.5</v>
      </c>
    </row>
    <row r="25" spans="1:17" x14ac:dyDescent="0.2">
      <c r="A25" t="s">
        <v>21</v>
      </c>
      <c r="B25" s="1">
        <v>168088000</v>
      </c>
      <c r="C25">
        <v>30794000</v>
      </c>
      <c r="D25">
        <v>-751000</v>
      </c>
      <c r="E25">
        <v>52232000</v>
      </c>
      <c r="F25">
        <v>3136000</v>
      </c>
      <c r="G25">
        <v>333779000</v>
      </c>
      <c r="H25">
        <v>149373000</v>
      </c>
      <c r="I25">
        <v>70803000</v>
      </c>
      <c r="J25">
        <v>191791000</v>
      </c>
      <c r="K25">
        <v>11686000</v>
      </c>
      <c r="L25">
        <v>25224000</v>
      </c>
      <c r="M25">
        <v>76740000</v>
      </c>
      <c r="N25">
        <v>61271000</v>
      </c>
      <c r="O25">
        <v>21.5</v>
      </c>
      <c r="P25">
        <v>1.5</v>
      </c>
      <c r="Q25">
        <v>8.5</v>
      </c>
    </row>
    <row r="26" spans="1:17" x14ac:dyDescent="0.2">
      <c r="A26" t="s">
        <v>22</v>
      </c>
      <c r="B26" s="1">
        <v>26914000</v>
      </c>
      <c r="C26">
        <v>4650000</v>
      </c>
      <c r="D26">
        <v>-150000</v>
      </c>
      <c r="E26">
        <v>13439000</v>
      </c>
      <c r="F26">
        <v>2605000</v>
      </c>
      <c r="G26">
        <v>44187000</v>
      </c>
      <c r="H26">
        <v>15358000</v>
      </c>
      <c r="I26">
        <v>3607000</v>
      </c>
      <c r="J26">
        <v>17575000</v>
      </c>
      <c r="K26">
        <v>1174000</v>
      </c>
      <c r="L26">
        <v>2166000</v>
      </c>
      <c r="M26">
        <v>9108000</v>
      </c>
      <c r="N26">
        <v>9752000</v>
      </c>
      <c r="O26">
        <v>19</v>
      </c>
      <c r="P26">
        <v>1.6</v>
      </c>
      <c r="Q26">
        <v>10</v>
      </c>
    </row>
    <row r="27" spans="1:17" x14ac:dyDescent="0.2">
      <c r="A27" t="s">
        <v>23</v>
      </c>
      <c r="B27" s="1">
        <v>40479000</v>
      </c>
      <c r="C27">
        <v>5782000</v>
      </c>
      <c r="D27">
        <v>-373000</v>
      </c>
      <c r="E27">
        <v>7855000</v>
      </c>
      <c r="F27">
        <v>1395550</v>
      </c>
      <c r="G27">
        <v>131107000</v>
      </c>
      <c r="H27">
        <v>75540000</v>
      </c>
      <c r="I27">
        <v>7049000</v>
      </c>
      <c r="J27">
        <v>125155000</v>
      </c>
      <c r="K27">
        <v>2916000</v>
      </c>
      <c r="L27">
        <v>8936000</v>
      </c>
      <c r="M27">
        <v>15887000</v>
      </c>
      <c r="N27">
        <v>13746000</v>
      </c>
      <c r="O27">
        <v>36.5</v>
      </c>
      <c r="P27">
        <v>3</v>
      </c>
      <c r="Q27">
        <v>22</v>
      </c>
    </row>
    <row r="104" ht="34.75" customHeight="1" x14ac:dyDescent="0.2"/>
  </sheetData>
  <phoneticPr fontId="4" type="noConversion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DCD5-A80F-4CDF-A129-E9AD04166D7F}">
  <dimension ref="A1:M102"/>
  <sheetViews>
    <sheetView tabSelected="1" workbookViewId="0">
      <selection activeCell="G23" sqref="G23"/>
    </sheetView>
  </sheetViews>
  <sheetFormatPr baseColWidth="10" defaultColWidth="8.83203125" defaultRowHeight="15" x14ac:dyDescent="0.2"/>
  <cols>
    <col min="1" max="1" width="16.6640625" customWidth="1"/>
    <col min="2" max="2" width="15.5" customWidth="1"/>
    <col min="3" max="3" width="13.5" customWidth="1"/>
    <col min="4" max="4" width="18.1640625" customWidth="1"/>
    <col min="5" max="5" width="18.5" customWidth="1"/>
    <col min="6" max="6" width="15.33203125" bestFit="1" customWidth="1"/>
    <col min="7" max="7" width="17.33203125" bestFit="1" customWidth="1"/>
    <col min="8" max="8" width="13.5" customWidth="1"/>
    <col min="9" max="9" width="14.83203125" customWidth="1"/>
    <col min="10" max="10" width="13.6640625" bestFit="1" customWidth="1"/>
    <col min="11" max="11" width="14" bestFit="1" customWidth="1"/>
  </cols>
  <sheetData>
    <row r="1" spans="1:6" ht="16" thickBot="1" x14ac:dyDescent="0.25">
      <c r="A1" s="3" t="s">
        <v>53</v>
      </c>
      <c r="B1" s="3"/>
      <c r="C1" s="3"/>
    </row>
    <row r="2" spans="1:6" ht="16" thickBot="1" x14ac:dyDescent="0.25">
      <c r="A2" t="s">
        <v>0</v>
      </c>
      <c r="B2" t="s">
        <v>49</v>
      </c>
      <c r="C2" t="s">
        <v>52</v>
      </c>
      <c r="D2" t="s">
        <v>54</v>
      </c>
      <c r="E2" s="9" t="s">
        <v>50</v>
      </c>
      <c r="F2" s="10" t="s">
        <v>51</v>
      </c>
    </row>
    <row r="3" spans="1:6" x14ac:dyDescent="0.2">
      <c r="A3" t="s">
        <v>14</v>
      </c>
      <c r="B3" s="15">
        <f>_xlfn.XLOOKUP(Analysis!$A3,Current_Year_Data[Company Name],Current_Year_Data[Share Price])</f>
        <v>25.5</v>
      </c>
      <c r="C3" s="15">
        <f>_xlfn.XLOOKUP(Analysis!$A3,Current_Year_Data[Company Name],Current_Year_Data[EPS])</f>
        <v>2.75</v>
      </c>
      <c r="D3" s="15">
        <f>_xlfn.XLOOKUP(Analysis!$A3,Current_Year_Data[Company Name],Current_Year_Data[Book Value per Share])</f>
        <v>15.3</v>
      </c>
      <c r="E3" s="1">
        <f>B3/C3</f>
        <v>9.2727272727272734</v>
      </c>
      <c r="F3" s="1">
        <f>B3/D3</f>
        <v>1.6666666666666665</v>
      </c>
    </row>
    <row r="4" spans="1:6" x14ac:dyDescent="0.2">
      <c r="A4" t="s">
        <v>15</v>
      </c>
      <c r="B4" s="15">
        <f>_xlfn.XLOOKUP(Analysis!$A4,Current_Year_Data[Company Name],Current_Year_Data[Share Price])</f>
        <v>20.25</v>
      </c>
      <c r="C4" s="15">
        <f>_xlfn.XLOOKUP(Analysis!$A4,Current_Year_Data[Company Name],Current_Year_Data[EPS])</f>
        <v>1.5</v>
      </c>
      <c r="D4" s="15">
        <f>_xlfn.XLOOKUP(Analysis!$A4,Current_Year_Data[Company Name],Current_Year_Data[Book Value per Share])</f>
        <v>10.199999999999999</v>
      </c>
      <c r="E4" s="1">
        <f t="shared" ref="E4:E12" si="0">B4/C4</f>
        <v>13.5</v>
      </c>
      <c r="F4" s="1">
        <f t="shared" ref="F4:F12" si="1">B4/D4</f>
        <v>1.9852941176470589</v>
      </c>
    </row>
    <row r="5" spans="1:6" x14ac:dyDescent="0.2">
      <c r="A5" t="s">
        <v>16</v>
      </c>
      <c r="B5" s="15">
        <f>_xlfn.XLOOKUP(Analysis!$A5,Current_Year_Data[Company Name],Current_Year_Data[Share Price])</f>
        <v>35</v>
      </c>
      <c r="C5" s="15">
        <f>_xlfn.XLOOKUP(Analysis!$A5,Current_Year_Data[Company Name],Current_Year_Data[EPS])</f>
        <v>1</v>
      </c>
      <c r="D5" s="15">
        <f>_xlfn.XLOOKUP(Analysis!$A5,Current_Year_Data[Company Name],Current_Year_Data[Book Value per Share])</f>
        <v>5.5</v>
      </c>
      <c r="E5" s="1">
        <f t="shared" si="0"/>
        <v>35</v>
      </c>
      <c r="F5" s="1">
        <f t="shared" si="1"/>
        <v>6.3636363636363633</v>
      </c>
    </row>
    <row r="6" spans="1:6" x14ac:dyDescent="0.2">
      <c r="A6" t="s">
        <v>17</v>
      </c>
      <c r="B6" s="15">
        <f>_xlfn.XLOOKUP(Analysis!$A6,Current_Year_Data[Company Name],Current_Year_Data[Share Price])</f>
        <v>35</v>
      </c>
      <c r="C6" s="15">
        <f>_xlfn.XLOOKUP(Analysis!$A6,Current_Year_Data[Company Name],Current_Year_Data[EPS])</f>
        <v>3</v>
      </c>
      <c r="D6" s="15">
        <f>_xlfn.XLOOKUP(Analysis!$A6,Current_Year_Data[Company Name],Current_Year_Data[Book Value per Share])</f>
        <v>25</v>
      </c>
      <c r="E6" s="1">
        <f t="shared" si="0"/>
        <v>11.666666666666666</v>
      </c>
      <c r="F6" s="1">
        <f t="shared" si="1"/>
        <v>1.4</v>
      </c>
    </row>
    <row r="7" spans="1:6" x14ac:dyDescent="0.2">
      <c r="A7" t="s">
        <v>18</v>
      </c>
      <c r="B7" s="15">
        <f>_xlfn.XLOOKUP(Analysis!$A7,Current_Year_Data[Company Name],Current_Year_Data[Share Price])</f>
        <v>42.5</v>
      </c>
      <c r="C7" s="15">
        <f>_xlfn.XLOOKUP(Analysis!$A7,Current_Year_Data[Company Name],Current_Year_Data[EPS])</f>
        <v>4</v>
      </c>
      <c r="D7" s="15">
        <f>_xlfn.XLOOKUP(Analysis!$A7,Current_Year_Data[Company Name],Current_Year_Data[Book Value per Share])</f>
        <v>30</v>
      </c>
      <c r="E7" s="1">
        <f t="shared" si="0"/>
        <v>10.625</v>
      </c>
      <c r="F7" s="1">
        <f t="shared" si="1"/>
        <v>1.4166666666666667</v>
      </c>
    </row>
    <row r="8" spans="1:6" x14ac:dyDescent="0.2">
      <c r="A8" t="s">
        <v>19</v>
      </c>
      <c r="B8" s="15">
        <f>_xlfn.XLOOKUP(Analysis!$A8,Current_Year_Data[Company Name],Current_Year_Data[Share Price])</f>
        <v>18.75</v>
      </c>
      <c r="C8" s="15">
        <f>_xlfn.XLOOKUP(Analysis!$A8,Current_Year_Data[Company Name],Current_Year_Data[EPS])</f>
        <v>1.25</v>
      </c>
      <c r="D8" s="15">
        <f>_xlfn.XLOOKUP(Analysis!$A8,Current_Year_Data[Company Name],Current_Year_Data[Book Value per Share])</f>
        <v>7.5</v>
      </c>
      <c r="E8" s="1">
        <f t="shared" si="0"/>
        <v>15</v>
      </c>
      <c r="F8" s="1">
        <f t="shared" si="1"/>
        <v>2.5</v>
      </c>
    </row>
    <row r="9" spans="1:6" x14ac:dyDescent="0.2">
      <c r="A9" t="s">
        <v>20</v>
      </c>
      <c r="B9" s="15">
        <f>_xlfn.XLOOKUP(Analysis!$A9,Current_Year_Data[Company Name],Current_Year_Data[Share Price])</f>
        <v>27</v>
      </c>
      <c r="C9" s="15">
        <f>_xlfn.XLOOKUP(Analysis!$A9,Current_Year_Data[Company Name],Current_Year_Data[EPS])</f>
        <v>2.25</v>
      </c>
      <c r="D9" s="15">
        <f>_xlfn.XLOOKUP(Analysis!$A9,Current_Year_Data[Company Name],Current_Year_Data[Book Value per Share])</f>
        <v>20</v>
      </c>
      <c r="E9" s="1">
        <f t="shared" si="0"/>
        <v>12</v>
      </c>
      <c r="F9" s="1">
        <f t="shared" si="1"/>
        <v>1.35</v>
      </c>
    </row>
    <row r="10" spans="1:6" x14ac:dyDescent="0.2">
      <c r="A10" t="s">
        <v>21</v>
      </c>
      <c r="B10" s="15">
        <f>_xlfn.XLOOKUP(Analysis!$A10,Current_Year_Data[Company Name],Current_Year_Data[Share Price])</f>
        <v>21.5</v>
      </c>
      <c r="C10" s="15">
        <f>_xlfn.XLOOKUP(Analysis!$A10,Current_Year_Data[Company Name],Current_Year_Data[EPS])</f>
        <v>1.75</v>
      </c>
      <c r="D10" s="15">
        <f>_xlfn.XLOOKUP(Analysis!$A10,Current_Year_Data[Company Name],Current_Year_Data[Book Value per Share])</f>
        <v>8</v>
      </c>
      <c r="E10" s="1">
        <f t="shared" si="0"/>
        <v>12.285714285714286</v>
      </c>
      <c r="F10" s="1">
        <f t="shared" si="1"/>
        <v>2.6875</v>
      </c>
    </row>
    <row r="11" spans="1:6" x14ac:dyDescent="0.2">
      <c r="A11" t="s">
        <v>22</v>
      </c>
      <c r="B11" s="15">
        <f>_xlfn.XLOOKUP(Analysis!$A11,Current_Year_Data[Company Name],Current_Year_Data[Share Price])</f>
        <v>32.75</v>
      </c>
      <c r="C11" s="15">
        <f>_xlfn.XLOOKUP(Analysis!$A11,Current_Year_Data[Company Name],Current_Year_Data[EPS])</f>
        <v>3.5</v>
      </c>
      <c r="D11" s="15">
        <f>_xlfn.XLOOKUP(Analysis!$A11,Current_Year_Data[Company Name],Current_Year_Data[Book Value per Share])</f>
        <v>22</v>
      </c>
      <c r="E11" s="1">
        <f t="shared" si="0"/>
        <v>9.3571428571428577</v>
      </c>
      <c r="F11" s="1">
        <f t="shared" si="1"/>
        <v>1.4886363636363635</v>
      </c>
    </row>
    <row r="12" spans="1:6" x14ac:dyDescent="0.2">
      <c r="A12" t="s">
        <v>23</v>
      </c>
      <c r="B12" s="15">
        <f>_xlfn.XLOOKUP(Analysis!$A12,Current_Year_Data[Company Name],Current_Year_Data[Share Price])</f>
        <v>38.25</v>
      </c>
      <c r="C12" s="15">
        <f>_xlfn.XLOOKUP(Analysis!$A12,Current_Year_Data[Company Name],Current_Year_Data[EPS])</f>
        <v>4.25</v>
      </c>
      <c r="D12" s="15">
        <f>_xlfn.XLOOKUP(Analysis!$A12,Current_Year_Data[Company Name],Current_Year_Data[Book Value per Share])</f>
        <v>28.5</v>
      </c>
      <c r="E12" s="1">
        <f t="shared" si="0"/>
        <v>9</v>
      </c>
      <c r="F12" s="1">
        <f t="shared" si="1"/>
        <v>1.3421052631578947</v>
      </c>
    </row>
    <row r="16" spans="1:6" x14ac:dyDescent="0.2">
      <c r="A16" s="3" t="s">
        <v>25</v>
      </c>
      <c r="B16" s="3"/>
      <c r="C16" s="3"/>
    </row>
    <row r="17" spans="1:9" ht="16" thickBot="1" x14ac:dyDescent="0.25"/>
    <row r="18" spans="1:9" ht="16" thickBot="1" x14ac:dyDescent="0.25">
      <c r="A18" t="s">
        <v>0</v>
      </c>
      <c r="B18" t="s">
        <v>1</v>
      </c>
      <c r="C18" t="s">
        <v>26</v>
      </c>
      <c r="D18" t="s">
        <v>4</v>
      </c>
      <c r="E18" t="s">
        <v>27</v>
      </c>
      <c r="F18" s="9" t="s">
        <v>28</v>
      </c>
      <c r="G18" s="11" t="s">
        <v>29</v>
      </c>
      <c r="H18" s="10" t="s">
        <v>30</v>
      </c>
      <c r="I18" s="17" t="s">
        <v>63</v>
      </c>
    </row>
    <row r="19" spans="1:9" x14ac:dyDescent="0.2">
      <c r="A19" t="s">
        <v>14</v>
      </c>
      <c r="B19" s="16">
        <f>_xlfn.XLOOKUP(Analysis!$A19,Current_Year_Data[Company Name],Current_Year_Data[Inventory])</f>
        <v>10580000</v>
      </c>
      <c r="C19" s="16">
        <f>_xlfn.XLOOKUP(Analysis!$A19,Previous_Year_Data[Company Name],Previous_Year_Data[Inventory])</f>
        <v>9061000</v>
      </c>
      <c r="D19" s="16">
        <f>_xlfn.XLOOKUP(Analysis!$A19,Current_Year_Data[Company Name],Current_Year_Data[Cost of Goods Sold])</f>
        <v>223546000</v>
      </c>
      <c r="E19" s="16">
        <f>_xlfn.XLOOKUP(Analysis!$A19,Previous_Year_Data[Company Name],Previous_Year_Data[Cost of Goods Sold])</f>
        <v>212981000</v>
      </c>
      <c r="F19" s="4">
        <f>(B19/C19)-1</f>
        <v>0.16764154066880033</v>
      </c>
      <c r="G19" s="2">
        <f>B19/(D19/365)</f>
        <v>17.274744347919444</v>
      </c>
      <c r="H19" s="2">
        <f>C19/(E19/365)</f>
        <v>15.528450894680745</v>
      </c>
      <c r="I19" s="4">
        <f>(G19/H19)-1</f>
        <v>0.1124576730211313</v>
      </c>
    </row>
    <row r="20" spans="1:9" x14ac:dyDescent="0.2">
      <c r="A20" t="s">
        <v>15</v>
      </c>
      <c r="B20" s="16">
        <f>_xlfn.XLOOKUP(Analysis!$A20,Current_Year_Data[Company Name],Current_Year_Data[Inventory])</f>
        <v>32640000</v>
      </c>
      <c r="C20" s="16">
        <f>_xlfn.XLOOKUP(Analysis!$A20,Previous_Year_Data[Company Name],Previous_Year_Data[Inventory])</f>
        <v>27765000</v>
      </c>
      <c r="D20" s="16">
        <f>_xlfn.XLOOKUP(Analysis!$A20,Current_Year_Data[Company Name],Current_Year_Data[Cost of Goods Sold])</f>
        <v>446343000</v>
      </c>
      <c r="E20" s="16">
        <f>_xlfn.XLOOKUP(Analysis!$A20,Previous_Year_Data[Company Name],Previous_Year_Data[Cost of Goods Sold])</f>
        <v>403507000</v>
      </c>
      <c r="F20" s="4">
        <f>(B20/C20)-1</f>
        <v>0.17558076715289039</v>
      </c>
      <c r="G20" s="2">
        <f t="shared" ref="G20:G28" si="2">B20/(D20/365)</f>
        <v>26.691580242100805</v>
      </c>
      <c r="H20" s="2">
        <f t="shared" ref="H20:H28" si="3">C20/(E20/365)</f>
        <v>25.115363550074722</v>
      </c>
      <c r="I20" s="4">
        <f t="shared" ref="I20:I28" si="4">(G20/H20)-1</f>
        <v>6.2759063347159527E-2</v>
      </c>
    </row>
    <row r="21" spans="1:9" x14ac:dyDescent="0.2">
      <c r="A21" t="s">
        <v>16</v>
      </c>
      <c r="B21" s="16">
        <f>_xlfn.XLOOKUP(Analysis!$A21,Current_Year_Data[Company Name],Current_Year_Data[Inventory])</f>
        <v>4579200</v>
      </c>
      <c r="C21" s="16">
        <f>_xlfn.XLOOKUP(Analysis!$A21,Previous_Year_Data[Company Name],Previous_Year_Data[Inventory])</f>
        <v>3569400</v>
      </c>
      <c r="D21" s="16">
        <f>_xlfn.XLOOKUP(Analysis!$A21,Current_Year_Data[Company Name],Current_Year_Data[Cost of Goods Sold])</f>
        <v>20473300</v>
      </c>
      <c r="E21" s="16">
        <f>_xlfn.XLOOKUP(Analysis!$A21,Previous_Year_Data[Company Name],Previous_Year_Data[Cost of Goods Sold])</f>
        <v>10802000</v>
      </c>
      <c r="F21" s="4">
        <f t="shared" ref="F20:F28" si="5">(B21/C21)-1</f>
        <v>0.28290468986384276</v>
      </c>
      <c r="G21" s="2">
        <f t="shared" si="2"/>
        <v>81.638426633713181</v>
      </c>
      <c r="H21" s="2">
        <f t="shared" si="3"/>
        <v>120.6101647842992</v>
      </c>
      <c r="I21" s="4">
        <f t="shared" si="4"/>
        <v>-0.32312150655198579</v>
      </c>
    </row>
    <row r="22" spans="1:9" x14ac:dyDescent="0.2">
      <c r="A22" t="s">
        <v>17</v>
      </c>
      <c r="B22" s="16">
        <f>_xlfn.XLOOKUP(Analysis!$A22,Current_Year_Data[Company Name],Current_Year_Data[Inventory])</f>
        <v>1725000</v>
      </c>
      <c r="C22" s="16">
        <f>_xlfn.XLOOKUP(Analysis!$A22,Previous_Year_Data[Company Name],Previous_Year_Data[Inventory])</f>
        <v>1497000</v>
      </c>
      <c r="D22" s="16">
        <f>_xlfn.XLOOKUP(Analysis!$A22,Current_Year_Data[Company Name],Current_Year_Data[Cost of Goods Sold])</f>
        <v>11108000</v>
      </c>
      <c r="E22" s="16">
        <f>_xlfn.XLOOKUP(Analysis!$A22,Previous_Year_Data[Company Name],Previous_Year_Data[Cost of Goods Sold])</f>
        <v>10606000</v>
      </c>
      <c r="F22" s="4">
        <f t="shared" si="5"/>
        <v>0.1523046092184368</v>
      </c>
      <c r="G22" s="2">
        <f t="shared" si="2"/>
        <v>56.682120993878286</v>
      </c>
      <c r="H22" s="2">
        <f t="shared" si="3"/>
        <v>51.518480105600602</v>
      </c>
      <c r="I22" s="4">
        <f t="shared" si="4"/>
        <v>0.10022890577698429</v>
      </c>
    </row>
    <row r="23" spans="1:9" x14ac:dyDescent="0.2">
      <c r="A23" t="s">
        <v>18</v>
      </c>
      <c r="B23" s="16">
        <f>_xlfn.XLOOKUP(Analysis!$A23,Current_Year_Data[Company Name],Current_Year_Data[Inventory])</f>
        <v>30087000</v>
      </c>
      <c r="C23" s="16">
        <f>_xlfn.XLOOKUP(Analysis!$A23,Previous_Year_Data[Company Name],Previous_Year_Data[Inventory])</f>
        <v>27858000</v>
      </c>
      <c r="D23" s="16">
        <f>_xlfn.XLOOKUP(Analysis!$A23,Current_Year_Data[Company Name],Current_Year_Data[Cost of Goods Sold])</f>
        <v>549450000</v>
      </c>
      <c r="E23" s="16">
        <f>_xlfn.XLOOKUP(Analysis!$A23,Previous_Year_Data[Company Name],Previous_Year_Data[Cost of Goods Sold])</f>
        <v>421205000</v>
      </c>
      <c r="F23" s="4">
        <f t="shared" si="5"/>
        <v>8.0012922679302267E-2</v>
      </c>
      <c r="G23" s="2">
        <f t="shared" si="2"/>
        <v>19.986814086814086</v>
      </c>
      <c r="H23" s="2">
        <f t="shared" si="3"/>
        <v>24.140667845823291</v>
      </c>
      <c r="I23" s="4">
        <f t="shared" si="4"/>
        <v>-0.1720687176319311</v>
      </c>
    </row>
    <row r="24" spans="1:9" x14ac:dyDescent="0.2">
      <c r="A24" t="s">
        <v>19</v>
      </c>
      <c r="B24" s="16">
        <f>_xlfn.XLOOKUP(Analysis!$A24,Current_Year_Data[Company Name],Current_Year_Data[Inventory])</f>
        <v>6470000</v>
      </c>
      <c r="C24" s="16">
        <f>_xlfn.XLOOKUP(Analysis!$A24,Previous_Year_Data[Company Name],Previous_Year_Data[Inventory])</f>
        <v>5470000</v>
      </c>
      <c r="D24" s="16">
        <f>_xlfn.XLOOKUP(Analysis!$A24,Current_Year_Data[Company Name],Current_Year_Data[Cost of Goods Sold])</f>
        <v>126203000</v>
      </c>
      <c r="E24" s="16">
        <f>_xlfn.XLOOKUP(Analysis!$A24,Previous_Year_Data[Company Name],Previous_Year_Data[Cost of Goods Sold])</f>
        <v>110939000</v>
      </c>
      <c r="F24" s="4">
        <f t="shared" si="5"/>
        <v>0.18281535648994507</v>
      </c>
      <c r="G24" s="2">
        <f t="shared" si="2"/>
        <v>18.712312702550655</v>
      </c>
      <c r="H24" s="2">
        <f t="shared" si="3"/>
        <v>17.996827085154905</v>
      </c>
      <c r="I24" s="4">
        <f t="shared" si="4"/>
        <v>3.9756208914511149E-2</v>
      </c>
    </row>
    <row r="25" spans="1:9" x14ac:dyDescent="0.2">
      <c r="A25" t="s">
        <v>20</v>
      </c>
      <c r="B25" s="16">
        <f>_xlfn.XLOOKUP(Analysis!$A25,Current_Year_Data[Company Name],Current_Year_Data[Inventory])</f>
        <v>4225301</v>
      </c>
      <c r="C25" s="16">
        <f>_xlfn.XLOOKUP(Analysis!$A25,Previous_Year_Data[Company Name],Previous_Year_Data[Inventory])</f>
        <v>3746500</v>
      </c>
      <c r="D25" s="16">
        <f>_xlfn.XLOOKUP(Analysis!$A25,Current_Year_Data[Company Name],Current_Year_Data[Cost of Goods Sold])</f>
        <v>25249000</v>
      </c>
      <c r="E25" s="16">
        <f>_xlfn.XLOOKUP(Analysis!$A25,Previous_Year_Data[Company Name],Previous_Year_Data[Cost of Goods Sold])</f>
        <v>22649000</v>
      </c>
      <c r="F25" s="4">
        <f t="shared" si="5"/>
        <v>0.12779954624316026</v>
      </c>
      <c r="G25" s="2">
        <f t="shared" si="2"/>
        <v>61.081027565448139</v>
      </c>
      <c r="H25" s="2">
        <f t="shared" si="3"/>
        <v>60.376727449335512</v>
      </c>
      <c r="I25" s="4">
        <f t="shared" si="4"/>
        <v>1.1665092592234805E-2</v>
      </c>
    </row>
    <row r="26" spans="1:9" x14ac:dyDescent="0.2">
      <c r="A26" t="s">
        <v>21</v>
      </c>
      <c r="B26" s="16">
        <f>_xlfn.XLOOKUP(Analysis!$A26,Current_Year_Data[Company Name],Current_Year_Data[Inventory])</f>
        <v>3742000</v>
      </c>
      <c r="C26" s="16">
        <f>_xlfn.XLOOKUP(Analysis!$A26,Previous_Year_Data[Company Name],Previous_Year_Data[Inventory])</f>
        <v>3136000</v>
      </c>
      <c r="D26" s="16">
        <f>_xlfn.XLOOKUP(Analysis!$A26,Current_Year_Data[Company Name],Current_Year_Data[Cost of Goods Sold])</f>
        <v>62650000</v>
      </c>
      <c r="E26" s="16">
        <f>_xlfn.XLOOKUP(Analysis!$A26,Previous_Year_Data[Company Name],Previous_Year_Data[Cost of Goods Sold])</f>
        <v>52232000</v>
      </c>
      <c r="F26" s="4">
        <f t="shared" si="5"/>
        <v>0.19323979591836737</v>
      </c>
      <c r="G26" s="2">
        <f t="shared" si="2"/>
        <v>21.80095770151636</v>
      </c>
      <c r="H26" s="2">
        <f t="shared" si="3"/>
        <v>21.914535150865369</v>
      </c>
      <c r="I26" s="4">
        <f t="shared" si="4"/>
        <v>-5.1827450852647283E-3</v>
      </c>
    </row>
    <row r="27" spans="1:9" x14ac:dyDescent="0.2">
      <c r="A27" t="s">
        <v>22</v>
      </c>
      <c r="B27" s="16">
        <f>_xlfn.XLOOKUP(Analysis!$A27,Current_Year_Data[Company Name],Current_Year_Data[Inventory])</f>
        <v>3159000</v>
      </c>
      <c r="C27" s="16">
        <f>_xlfn.XLOOKUP(Analysis!$A27,Previous_Year_Data[Company Name],Previous_Year_Data[Inventory])</f>
        <v>2605000</v>
      </c>
      <c r="D27" s="16">
        <f>_xlfn.XLOOKUP(Analysis!$A27,Current_Year_Data[Company Name],Current_Year_Data[Cost of Goods Sold])</f>
        <v>16618000</v>
      </c>
      <c r="E27" s="16">
        <f>_xlfn.XLOOKUP(Analysis!$A27,Previous_Year_Data[Company Name],Previous_Year_Data[Cost of Goods Sold])</f>
        <v>13439000</v>
      </c>
      <c r="F27" s="4">
        <f t="shared" si="5"/>
        <v>0.21266794625719765</v>
      </c>
      <c r="G27" s="2">
        <f t="shared" si="2"/>
        <v>69.384703333734493</v>
      </c>
      <c r="H27" s="2">
        <f t="shared" si="3"/>
        <v>70.751171962199578</v>
      </c>
      <c r="I27" s="4">
        <f t="shared" si="4"/>
        <v>-1.9313724289897971E-2</v>
      </c>
    </row>
    <row r="28" spans="1:9" x14ac:dyDescent="0.2">
      <c r="A28" t="s">
        <v>23</v>
      </c>
      <c r="B28" s="16">
        <f>_xlfn.XLOOKUP(Analysis!$A28,Current_Year_Data[Company Name],Current_Year_Data[Inventory])</f>
        <v>1542000</v>
      </c>
      <c r="C28" s="16">
        <f>_xlfn.XLOOKUP(Analysis!$A28,Previous_Year_Data[Company Name],Previous_Year_Data[Inventory])</f>
        <v>1395550</v>
      </c>
      <c r="D28" s="16">
        <f>_xlfn.XLOOKUP(Analysis!$A28,Current_Year_Data[Company Name],Current_Year_Data[Cost of Goods Sold])</f>
        <v>8877000</v>
      </c>
      <c r="E28" s="16">
        <f>_xlfn.XLOOKUP(Analysis!$A28,Previous_Year_Data[Company Name],Previous_Year_Data[Cost of Goods Sold])</f>
        <v>7855000</v>
      </c>
      <c r="F28" s="4">
        <f t="shared" si="5"/>
        <v>0.10494070438178493</v>
      </c>
      <c r="G28" s="2">
        <f t="shared" si="2"/>
        <v>63.403176748901657</v>
      </c>
      <c r="H28" s="2">
        <f t="shared" si="3"/>
        <v>64.847326543602804</v>
      </c>
      <c r="I28" s="4">
        <f t="shared" si="4"/>
        <v>-2.2269997418168264E-2</v>
      </c>
    </row>
    <row r="31" spans="1:9" ht="16" thickBot="1" x14ac:dyDescent="0.25">
      <c r="A31" s="3" t="s">
        <v>31</v>
      </c>
      <c r="B31" s="3"/>
      <c r="C31" s="3"/>
    </row>
    <row r="32" spans="1:9" ht="16" thickBot="1" x14ac:dyDescent="0.25">
      <c r="A32" t="s">
        <v>0</v>
      </c>
      <c r="B32" t="s">
        <v>5</v>
      </c>
      <c r="C32" t="s">
        <v>32</v>
      </c>
      <c r="D32" s="9" t="s">
        <v>33</v>
      </c>
      <c r="E32" s="10" t="s">
        <v>28</v>
      </c>
      <c r="F32" s="17" t="s">
        <v>64</v>
      </c>
    </row>
    <row r="33" spans="1:9" x14ac:dyDescent="0.2">
      <c r="A33" t="s">
        <v>14</v>
      </c>
      <c r="B33" s="16">
        <f>_xlfn.XLOOKUP(Analysis!$A33,Current_Year_Data[Company Name],Current_Year_Data[Sales])</f>
        <v>394328000</v>
      </c>
      <c r="C33" s="16">
        <f>_xlfn.XLOOKUP(Analysis!$A33,Previous_Year_Data[Company Name],Previous_Year_Data[Sales])</f>
        <v>365817000</v>
      </c>
      <c r="D33" s="4">
        <f>(B33/C33)-1</f>
        <v>7.7937876041846099E-2</v>
      </c>
      <c r="E33" s="4">
        <f>F19</f>
        <v>0.16764154066880033</v>
      </c>
      <c r="F33" s="18">
        <f>D33-E33</f>
        <v>-8.9703664626954227E-2</v>
      </c>
    </row>
    <row r="34" spans="1:9" x14ac:dyDescent="0.2">
      <c r="A34" t="s">
        <v>15</v>
      </c>
      <c r="B34" s="16">
        <f>_xlfn.XLOOKUP(Analysis!$A34,Current_Year_Data[Company Name],Current_Year_Data[Sales])</f>
        <v>513983000</v>
      </c>
      <c r="C34" s="16">
        <f>_xlfn.XLOOKUP(Analysis!$A34,Previous_Year_Data[Company Name],Previous_Year_Data[Sales])</f>
        <v>469822000</v>
      </c>
      <c r="D34" s="4">
        <f t="shared" ref="D34:D42" si="6">(B34/C34)-1</f>
        <v>9.399517263985091E-2</v>
      </c>
      <c r="E34" s="4">
        <f t="shared" ref="E34:E42" si="7">F20</f>
        <v>0.17558076715289039</v>
      </c>
      <c r="F34" s="18">
        <f t="shared" ref="F34:F42" si="8">D34-E34</f>
        <v>-8.1585594513039483E-2</v>
      </c>
    </row>
    <row r="35" spans="1:9" x14ac:dyDescent="0.2">
      <c r="A35" t="s">
        <v>16</v>
      </c>
      <c r="B35" s="16">
        <f>_xlfn.XLOOKUP(Analysis!$A35,Current_Year_Data[Company Name],Current_Year_Data[Sales])</f>
        <v>21216540</v>
      </c>
      <c r="C35" s="16">
        <f>_xlfn.XLOOKUP(Analysis!$A35,Previous_Year_Data[Company Name],Previous_Year_Data[Sales])</f>
        <v>18611000</v>
      </c>
      <c r="D35" s="4">
        <f t="shared" si="6"/>
        <v>0.1399999999999999</v>
      </c>
      <c r="E35" s="4">
        <f t="shared" si="7"/>
        <v>0.28290468986384276</v>
      </c>
      <c r="F35" s="18">
        <f t="shared" si="8"/>
        <v>-0.14290468986384286</v>
      </c>
    </row>
    <row r="36" spans="1:9" x14ac:dyDescent="0.2">
      <c r="A36" t="s">
        <v>17</v>
      </c>
      <c r="B36" s="16">
        <f>_xlfn.XLOOKUP(Analysis!$A36,Current_Year_Data[Company Name],Current_Year_Data[Sales])</f>
        <v>33203000</v>
      </c>
      <c r="C36" s="16">
        <f>_xlfn.XLOOKUP(Analysis!$A36,Previous_Year_Data[Company Name],Previous_Year_Data[Sales])</f>
        <v>27450000</v>
      </c>
      <c r="D36" s="4">
        <f t="shared" si="6"/>
        <v>0.20958105646630232</v>
      </c>
      <c r="E36" s="4">
        <f t="shared" si="7"/>
        <v>0.1523046092184368</v>
      </c>
      <c r="F36" s="18">
        <f t="shared" si="8"/>
        <v>5.7276447247865514E-2</v>
      </c>
    </row>
    <row r="37" spans="1:9" x14ac:dyDescent="0.2">
      <c r="A37" t="s">
        <v>18</v>
      </c>
      <c r="B37" s="16">
        <f>_xlfn.XLOOKUP(Analysis!$A37,Current_Year_Data[Company Name],Current_Year_Data[Sales])</f>
        <v>853062000</v>
      </c>
      <c r="C37" s="16">
        <f>_xlfn.XLOOKUP(Analysis!$A37,Previous_Year_Data[Company Name],Previous_Year_Data[Sales])</f>
        <v>717289000</v>
      </c>
      <c r="D37" s="4">
        <f t="shared" si="6"/>
        <v>0.18928632671071211</v>
      </c>
      <c r="E37" s="4">
        <f t="shared" si="7"/>
        <v>8.0012922679302267E-2</v>
      </c>
      <c r="F37" s="18">
        <f t="shared" si="8"/>
        <v>0.10927340403140984</v>
      </c>
    </row>
    <row r="38" spans="1:9" x14ac:dyDescent="0.2">
      <c r="A38" t="s">
        <v>19</v>
      </c>
      <c r="B38" s="16">
        <f>_xlfn.XLOOKUP(Analysis!$A38,Current_Year_Data[Company Name],Current_Year_Data[Sales])</f>
        <v>282836000</v>
      </c>
      <c r="C38" s="16">
        <f>_xlfn.XLOOKUP(Analysis!$A38,Previous_Year_Data[Company Name],Previous_Year_Data[Sales])</f>
        <v>257637000</v>
      </c>
      <c r="D38" s="4">
        <f t="shared" si="6"/>
        <v>9.7808156437157789E-2</v>
      </c>
      <c r="E38" s="4">
        <f t="shared" si="7"/>
        <v>0.18281535648994507</v>
      </c>
      <c r="F38" s="18">
        <f t="shared" si="8"/>
        <v>-8.500720005278728E-2</v>
      </c>
    </row>
    <row r="39" spans="1:9" x14ac:dyDescent="0.2">
      <c r="A39" t="s">
        <v>20</v>
      </c>
      <c r="B39" s="16">
        <f>_xlfn.XLOOKUP(Analysis!$A39,Current_Year_Data[Company Name],Current_Year_Data[Sales])</f>
        <v>116609000</v>
      </c>
      <c r="C39" s="16">
        <f>_xlfn.XLOOKUP(Analysis!$A39,Previous_Year_Data[Company Name],Previous_Year_Data[Sales])</f>
        <v>117929000</v>
      </c>
      <c r="D39" s="4">
        <f t="shared" si="6"/>
        <v>-1.1193175554782941E-2</v>
      </c>
      <c r="E39" s="4">
        <f t="shared" si="7"/>
        <v>0.12779954624316026</v>
      </c>
      <c r="F39" s="18">
        <f t="shared" si="8"/>
        <v>-0.1389927217979432</v>
      </c>
    </row>
    <row r="40" spans="1:9" x14ac:dyDescent="0.2">
      <c r="A40" t="s">
        <v>21</v>
      </c>
      <c r="B40" s="16">
        <f>_xlfn.XLOOKUP(Analysis!$A40,Current_Year_Data[Company Name],Current_Year_Data[Sales])</f>
        <v>198270000</v>
      </c>
      <c r="C40" s="16">
        <f>_xlfn.XLOOKUP(Analysis!$A40,Previous_Year_Data[Company Name],Previous_Year_Data[Sales])</f>
        <v>168088000</v>
      </c>
      <c r="D40" s="4">
        <f t="shared" si="6"/>
        <v>0.17956070629670173</v>
      </c>
      <c r="E40" s="4">
        <f t="shared" si="7"/>
        <v>0.19323979591836737</v>
      </c>
      <c r="F40" s="18">
        <f t="shared" si="8"/>
        <v>-1.3679089621665641E-2</v>
      </c>
    </row>
    <row r="41" spans="1:9" x14ac:dyDescent="0.2">
      <c r="A41" t="s">
        <v>22</v>
      </c>
      <c r="B41" s="16">
        <f>_xlfn.XLOOKUP(Analysis!$A41,Current_Year_Data[Company Name],Current_Year_Data[Sales])</f>
        <v>26974000</v>
      </c>
      <c r="C41" s="16">
        <f>_xlfn.XLOOKUP(Analysis!$A41,Previous_Year_Data[Company Name],Previous_Year_Data[Sales])</f>
        <v>26914000</v>
      </c>
      <c r="D41" s="4">
        <f t="shared" si="6"/>
        <v>2.2293230289069932E-3</v>
      </c>
      <c r="E41" s="4">
        <f t="shared" si="7"/>
        <v>0.21266794625719765</v>
      </c>
      <c r="F41" s="18">
        <f t="shared" si="8"/>
        <v>-0.21043862322829066</v>
      </c>
    </row>
    <row r="42" spans="1:9" x14ac:dyDescent="0.2">
      <c r="A42" t="s">
        <v>23</v>
      </c>
      <c r="B42" s="16">
        <f>_xlfn.XLOOKUP(Analysis!$A42,Current_Year_Data[Company Name],Current_Year_Data[Sales])</f>
        <v>42440000</v>
      </c>
      <c r="C42" s="16">
        <f>_xlfn.XLOOKUP(Analysis!$A42,Previous_Year_Data[Company Name],Previous_Year_Data[Sales])</f>
        <v>40479000</v>
      </c>
      <c r="D42" s="4">
        <f t="shared" si="6"/>
        <v>4.8444872650015958E-2</v>
      </c>
      <c r="E42" s="4">
        <f t="shared" si="7"/>
        <v>0.10494070438178493</v>
      </c>
      <c r="F42" s="18">
        <f t="shared" si="8"/>
        <v>-5.6495831731768975E-2</v>
      </c>
    </row>
    <row r="45" spans="1:9" ht="16" thickBot="1" x14ac:dyDescent="0.25">
      <c r="A45" s="3" t="s">
        <v>61</v>
      </c>
      <c r="B45" s="3"/>
      <c r="C45" s="3"/>
    </row>
    <row r="46" spans="1:9" ht="16" thickBot="1" x14ac:dyDescent="0.25">
      <c r="A46" t="s">
        <v>0</v>
      </c>
      <c r="B46" t="s">
        <v>56</v>
      </c>
      <c r="C46" t="s">
        <v>55</v>
      </c>
      <c r="D46" t="s">
        <v>5</v>
      </c>
      <c r="E46" t="s">
        <v>32</v>
      </c>
      <c r="F46" s="9" t="s">
        <v>34</v>
      </c>
      <c r="G46" s="11" t="s">
        <v>35</v>
      </c>
      <c r="H46" s="10" t="s">
        <v>36</v>
      </c>
      <c r="I46" s="17" t="s">
        <v>63</v>
      </c>
    </row>
    <row r="47" spans="1:9" x14ac:dyDescent="0.2">
      <c r="A47" t="s">
        <v>14</v>
      </c>
      <c r="B47" s="16">
        <f>_xlfn.XLOOKUP(Analysis!$A47,Current_Year_Data[Company Name],Current_Year_Data[Accounts Receivable, Gross])+_xlfn.XLOOKUP(Analysis!$A47,Current_Year_Data[Company Name],Current_Year_Data[Allowance for Doubtful Accounts])</f>
        <v>50306000</v>
      </c>
      <c r="C47" s="16">
        <f>_xlfn.XLOOKUP(Analysis!$A47,Previous_Year_Data[Company Name],Previous_Year_Data[Accounts Receivable, Gross])+_xlfn.XLOOKUP(Analysis!$A47,Previous_Year_Data[Company Name],Previous_Year_Data[Allowance for Doubtful Accounts])</f>
        <v>36445000</v>
      </c>
      <c r="D47" s="16">
        <f>B33</f>
        <v>394328000</v>
      </c>
      <c r="E47" s="16">
        <f>C33</f>
        <v>365817000</v>
      </c>
      <c r="F47" s="4">
        <f>(B47/C47)-1</f>
        <v>0.38032651941281381</v>
      </c>
      <c r="G47" s="2">
        <f>(B47/D47)*365</f>
        <v>46.564509748229895</v>
      </c>
      <c r="H47" s="2">
        <f>(C47/E47)*365</f>
        <v>36.363605299917715</v>
      </c>
      <c r="I47" s="4">
        <f>(G47/H47)-1</f>
        <v>0.28052511196779673</v>
      </c>
    </row>
    <row r="48" spans="1:9" x14ac:dyDescent="0.2">
      <c r="A48" t="s">
        <v>15</v>
      </c>
      <c r="B48" s="16">
        <f>_xlfn.XLOOKUP(Analysis!$A48,Current_Year_Data[Company Name],Current_Year_Data[Accounts Receivable, Gross])+_xlfn.XLOOKUP(Analysis!$A48,Current_Year_Data[Company Name],Current_Year_Data[Allowance for Doubtful Accounts])</f>
        <v>32891000</v>
      </c>
      <c r="C48" s="16">
        <f>_xlfn.XLOOKUP(Analysis!$A48,Previous_Year_Data[Company Name],Previous_Year_Data[Accounts Receivable, Gross])+_xlfn.XLOOKUP(Analysis!$A48,Previous_Year_Data[Company Name],Previous_Year_Data[Allowance for Doubtful Accounts])</f>
        <v>24542000</v>
      </c>
      <c r="D48" s="16">
        <f t="shared" ref="D48:E48" si="9">B34</f>
        <v>513983000</v>
      </c>
      <c r="E48" s="16">
        <f t="shared" si="9"/>
        <v>469822000</v>
      </c>
      <c r="F48" s="4">
        <f t="shared" ref="F48:F56" si="10">(B48/C48)-1</f>
        <v>0.34019232336402894</v>
      </c>
      <c r="G48" s="2">
        <f t="shared" ref="G48:H56" si="11">(B48/D48)*365</f>
        <v>23.357221931464661</v>
      </c>
      <c r="H48" s="2">
        <f t="shared" si="11"/>
        <v>19.066433670624193</v>
      </c>
      <c r="I48" s="4">
        <f t="shared" ref="I48:I56" si="12">(G48/H48)-1</f>
        <v>0.22504409240682066</v>
      </c>
    </row>
    <row r="49" spans="1:9" x14ac:dyDescent="0.2">
      <c r="A49" t="s">
        <v>16</v>
      </c>
      <c r="B49" s="16">
        <f>_xlfn.XLOOKUP(Analysis!$A49,Current_Year_Data[Company Name],Current_Year_Data[Accounts Receivable, Gross])+_xlfn.XLOOKUP(Analysis!$A49,Current_Year_Data[Company Name],Current_Year_Data[Allowance for Doubtful Accounts])</f>
        <v>2232500</v>
      </c>
      <c r="C49" s="16">
        <f>_xlfn.XLOOKUP(Analysis!$A49,Previous_Year_Data[Company Name],Previous_Year_Data[Accounts Receivable, Gross])+_xlfn.XLOOKUP(Analysis!$A49,Previous_Year_Data[Company Name],Previous_Year_Data[Allowance for Doubtful Accounts])</f>
        <v>1616100</v>
      </c>
      <c r="D49" s="16">
        <f t="shared" ref="D49:E49" si="13">B35</f>
        <v>21216540</v>
      </c>
      <c r="E49" s="16">
        <f t="shared" si="13"/>
        <v>18611000</v>
      </c>
      <c r="F49" s="4">
        <f t="shared" si="10"/>
        <v>0.3814120413340758</v>
      </c>
      <c r="G49" s="2">
        <f t="shared" si="11"/>
        <v>38.406945713108733</v>
      </c>
      <c r="H49" s="2">
        <f t="shared" si="11"/>
        <v>31.695045940572779</v>
      </c>
      <c r="I49" s="4">
        <f t="shared" si="12"/>
        <v>0.21176494853866301</v>
      </c>
    </row>
    <row r="50" spans="1:9" x14ac:dyDescent="0.2">
      <c r="A50" t="s">
        <v>17</v>
      </c>
      <c r="B50" s="16">
        <f>_xlfn.XLOOKUP(Analysis!$A50,Current_Year_Data[Company Name],Current_Year_Data[Accounts Receivable, Gross])+_xlfn.XLOOKUP(Analysis!$A50,Current_Year_Data[Company Name],Current_Year_Data[Allowance for Doubtful Accounts])</f>
        <v>2908000</v>
      </c>
      <c r="C50" s="16">
        <f>_xlfn.XLOOKUP(Analysis!$A50,Previous_Year_Data[Company Name],Previous_Year_Data[Accounts Receivable, Gross])+_xlfn.XLOOKUP(Analysis!$A50,Previous_Year_Data[Company Name],Previous_Year_Data[Allowance for Doubtful Accounts])</f>
        <v>4608300</v>
      </c>
      <c r="D50" s="16">
        <f t="shared" ref="D50:E50" si="14">B36</f>
        <v>33203000</v>
      </c>
      <c r="E50" s="16">
        <f t="shared" si="14"/>
        <v>27450000</v>
      </c>
      <c r="F50" s="4">
        <f t="shared" si="10"/>
        <v>-0.36896469413883648</v>
      </c>
      <c r="G50" s="2">
        <f t="shared" si="11"/>
        <v>31.967593289762974</v>
      </c>
      <c r="H50" s="2">
        <f t="shared" si="11"/>
        <v>61.276120218579237</v>
      </c>
      <c r="I50" s="4">
        <f t="shared" si="12"/>
        <v>-0.47830258874532605</v>
      </c>
    </row>
    <row r="51" spans="1:9" x14ac:dyDescent="0.2">
      <c r="A51" t="s">
        <v>18</v>
      </c>
      <c r="B51" s="16">
        <f>_xlfn.XLOOKUP(Analysis!$A51,Current_Year_Data[Company Name],Current_Year_Data[Accounts Receivable, Gross])+_xlfn.XLOOKUP(Analysis!$A51,Current_Year_Data[Company Name],Current_Year_Data[Allowance for Doubtful Accounts])</f>
        <v>31663000</v>
      </c>
      <c r="C51" s="16">
        <f>_xlfn.XLOOKUP(Analysis!$A51,Previous_Year_Data[Company Name],Previous_Year_Data[Accounts Receivable, Gross])+_xlfn.XLOOKUP(Analysis!$A51,Previous_Year_Data[Company Name],Previous_Year_Data[Allowance for Doubtful Accounts])</f>
        <v>26226000</v>
      </c>
      <c r="D51" s="16">
        <f t="shared" ref="D51:E51" si="15">B37</f>
        <v>853062000</v>
      </c>
      <c r="E51" s="16">
        <f t="shared" si="15"/>
        <v>717289000</v>
      </c>
      <c r="F51" s="4">
        <f t="shared" si="10"/>
        <v>0.2073133531609852</v>
      </c>
      <c r="G51" s="2">
        <f t="shared" si="11"/>
        <v>13.547661248537622</v>
      </c>
      <c r="H51" s="2">
        <f t="shared" si="11"/>
        <v>13.345374040310114</v>
      </c>
      <c r="I51" s="4">
        <f t="shared" si="12"/>
        <v>1.5157852272742023E-2</v>
      </c>
    </row>
    <row r="52" spans="1:9" x14ac:dyDescent="0.2">
      <c r="A52" t="s">
        <v>19</v>
      </c>
      <c r="B52" s="16">
        <f>_xlfn.XLOOKUP(Analysis!$A52,Current_Year_Data[Company Name],Current_Year_Data[Accounts Receivable, Gross])+_xlfn.XLOOKUP(Analysis!$A52,Current_Year_Data[Company Name],Current_Year_Data[Allowance for Doubtful Accounts])</f>
        <v>40258000</v>
      </c>
      <c r="C52" s="16">
        <f>_xlfn.XLOOKUP(Analysis!$A52,Previous_Year_Data[Company Name],Previous_Year_Data[Accounts Receivable, Gross])+_xlfn.XLOOKUP(Analysis!$A52,Previous_Year_Data[Company Name],Previous_Year_Data[Allowance for Doubtful Accounts])</f>
        <v>39304000</v>
      </c>
      <c r="D52" s="16">
        <f t="shared" ref="D52:E52" si="16">B38</f>
        <v>282836000</v>
      </c>
      <c r="E52" s="16">
        <f t="shared" si="16"/>
        <v>257637000</v>
      </c>
      <c r="F52" s="4">
        <f t="shared" si="10"/>
        <v>2.427233869326284E-2</v>
      </c>
      <c r="G52" s="2">
        <f t="shared" si="11"/>
        <v>51.952969211840077</v>
      </c>
      <c r="H52" s="2">
        <f t="shared" si="11"/>
        <v>55.682840585785428</v>
      </c>
      <c r="I52" s="4">
        <f t="shared" si="12"/>
        <v>-6.6984215149711757E-2</v>
      </c>
    </row>
    <row r="53" spans="1:9" x14ac:dyDescent="0.2">
      <c r="A53" t="s">
        <v>20</v>
      </c>
      <c r="B53" s="16">
        <f>_xlfn.XLOOKUP(Analysis!$A53,Current_Year_Data[Company Name],Current_Year_Data[Accounts Receivable, Gross])+_xlfn.XLOOKUP(Analysis!$A53,Current_Year_Data[Company Name],Current_Year_Data[Allowance for Doubtful Accounts])</f>
        <v>13066000</v>
      </c>
      <c r="C53" s="16">
        <f>_xlfn.XLOOKUP(Analysis!$A53,Previous_Year_Data[Company Name],Previous_Year_Data[Accounts Receivable, Gross])+_xlfn.XLOOKUP(Analysis!$A53,Previous_Year_Data[Company Name],Previous_Year_Data[Allowance for Doubtful Accounts])</f>
        <v>13589000</v>
      </c>
      <c r="D53" s="16">
        <f t="shared" ref="D53:E53" si="17">B39</f>
        <v>116609000</v>
      </c>
      <c r="E53" s="16">
        <f t="shared" si="17"/>
        <v>117929000</v>
      </c>
      <c r="F53" s="4">
        <f t="shared" si="10"/>
        <v>-3.8487011553462347E-2</v>
      </c>
      <c r="G53" s="2">
        <f t="shared" si="11"/>
        <v>40.898129646939772</v>
      </c>
      <c r="H53" s="2">
        <f t="shared" si="11"/>
        <v>42.059077919765279</v>
      </c>
      <c r="I53" s="4">
        <f t="shared" si="12"/>
        <v>-2.7602798973391907E-2</v>
      </c>
    </row>
    <row r="54" spans="1:9" x14ac:dyDescent="0.2">
      <c r="A54" t="s">
        <v>21</v>
      </c>
      <c r="B54" s="16">
        <f>_xlfn.XLOOKUP(Analysis!$A54,Current_Year_Data[Company Name],Current_Year_Data[Accounts Receivable, Gross])+_xlfn.XLOOKUP(Analysis!$A54,Current_Year_Data[Company Name],Current_Year_Data[Allowance for Doubtful Accounts])</f>
        <v>35261000</v>
      </c>
      <c r="C54" s="16">
        <f>_xlfn.XLOOKUP(Analysis!$A54,Previous_Year_Data[Company Name],Previous_Year_Data[Accounts Receivable, Gross])+_xlfn.XLOOKUP(Analysis!$A54,Previous_Year_Data[Company Name],Previous_Year_Data[Allowance for Doubtful Accounts])</f>
        <v>30043000</v>
      </c>
      <c r="D54" s="16">
        <f t="shared" ref="D54:E54" si="18">B40</f>
        <v>198270000</v>
      </c>
      <c r="E54" s="16">
        <f t="shared" si="18"/>
        <v>168088000</v>
      </c>
      <c r="F54" s="4">
        <f t="shared" si="10"/>
        <v>0.17368438571381017</v>
      </c>
      <c r="G54" s="2">
        <f t="shared" si="11"/>
        <v>64.912820900791843</v>
      </c>
      <c r="H54" s="2">
        <f t="shared" si="11"/>
        <v>65.237821855218698</v>
      </c>
      <c r="I54" s="4">
        <f t="shared" si="12"/>
        <v>-4.981787331099552E-3</v>
      </c>
    </row>
    <row r="55" spans="1:9" x14ac:dyDescent="0.2">
      <c r="A55" t="s">
        <v>22</v>
      </c>
      <c r="B55" s="16">
        <f>_xlfn.XLOOKUP(Analysis!$A55,Current_Year_Data[Company Name],Current_Year_Data[Accounts Receivable, Gross])+_xlfn.XLOOKUP(Analysis!$A55,Current_Year_Data[Company Name],Current_Year_Data[Allowance for Doubtful Accounts])</f>
        <v>3727000</v>
      </c>
      <c r="C55" s="16">
        <f>_xlfn.XLOOKUP(Analysis!$A55,Previous_Year_Data[Company Name],Previous_Year_Data[Accounts Receivable, Gross])+_xlfn.XLOOKUP(Analysis!$A55,Previous_Year_Data[Company Name],Previous_Year_Data[Allowance for Doubtful Accounts])</f>
        <v>4500000</v>
      </c>
      <c r="D55" s="16">
        <f t="shared" ref="D55:E55" si="19">B41</f>
        <v>26974000</v>
      </c>
      <c r="E55" s="16">
        <f t="shared" si="19"/>
        <v>26914000</v>
      </c>
      <c r="F55" s="4">
        <f t="shared" si="10"/>
        <v>-0.17177777777777781</v>
      </c>
      <c r="G55" s="2">
        <f t="shared" si="11"/>
        <v>50.432082746348343</v>
      </c>
      <c r="H55" s="2">
        <f t="shared" si="11"/>
        <v>61.027717916326068</v>
      </c>
      <c r="I55" s="4">
        <f t="shared" si="12"/>
        <v>-0.17362004564065792</v>
      </c>
    </row>
    <row r="56" spans="1:9" x14ac:dyDescent="0.2">
      <c r="A56" t="s">
        <v>23</v>
      </c>
      <c r="B56" s="16">
        <f>_xlfn.XLOOKUP(Analysis!$A56,Current_Year_Data[Company Name],Current_Year_Data[Accounts Receivable, Gross])+_xlfn.XLOOKUP(Analysis!$A56,Current_Year_Data[Company Name],Current_Year_Data[Allowance for Doubtful Accounts])</f>
        <v>5953000</v>
      </c>
      <c r="C56" s="16">
        <f>_xlfn.XLOOKUP(Analysis!$A56,Previous_Year_Data[Company Name],Previous_Year_Data[Accounts Receivable, Gross])+_xlfn.XLOOKUP(Analysis!$A56,Previous_Year_Data[Company Name],Previous_Year_Data[Allowance for Doubtful Accounts])</f>
        <v>5409000</v>
      </c>
      <c r="D56" s="16">
        <f t="shared" ref="D56:E56" si="20">B42</f>
        <v>42440000</v>
      </c>
      <c r="E56" s="16">
        <f t="shared" si="20"/>
        <v>40479000</v>
      </c>
      <c r="F56" s="4">
        <f t="shared" si="10"/>
        <v>0.10057311887594755</v>
      </c>
      <c r="G56" s="2">
        <f t="shared" si="11"/>
        <v>51.19804429783224</v>
      </c>
      <c r="H56" s="2">
        <f t="shared" si="11"/>
        <v>48.77306751649003</v>
      </c>
      <c r="I56" s="4">
        <f t="shared" si="12"/>
        <v>4.9719587157857736E-2</v>
      </c>
    </row>
    <row r="57" spans="1:9" x14ac:dyDescent="0.2">
      <c r="D57" s="1"/>
      <c r="E57" s="1"/>
      <c r="F57" s="4"/>
      <c r="G57" s="2"/>
      <c r="H57" s="2"/>
    </row>
    <row r="58" spans="1:9" x14ac:dyDescent="0.2">
      <c r="D58" s="1"/>
      <c r="E58" s="1"/>
      <c r="F58" s="4"/>
      <c r="G58" s="2"/>
      <c r="H58" s="2"/>
    </row>
    <row r="59" spans="1:9" ht="16" thickBot="1" x14ac:dyDescent="0.25">
      <c r="A59" s="3" t="s">
        <v>11</v>
      </c>
      <c r="B59" s="3"/>
      <c r="C59" s="3"/>
      <c r="D59" s="1"/>
      <c r="E59" s="1"/>
      <c r="F59" s="4"/>
      <c r="G59" s="2"/>
    </row>
    <row r="60" spans="1:9" ht="16" thickBot="1" x14ac:dyDescent="0.25">
      <c r="A60" t="s">
        <v>0</v>
      </c>
      <c r="B60" t="s">
        <v>56</v>
      </c>
      <c r="C60" t="s">
        <v>55</v>
      </c>
      <c r="D60" t="s">
        <v>57</v>
      </c>
      <c r="E60" t="s">
        <v>58</v>
      </c>
      <c r="F60" s="12" t="s">
        <v>59</v>
      </c>
      <c r="G60" s="13" t="s">
        <v>60</v>
      </c>
      <c r="H60" s="17" t="s">
        <v>63</v>
      </c>
    </row>
    <row r="61" spans="1:9" x14ac:dyDescent="0.2">
      <c r="A61" t="s">
        <v>14</v>
      </c>
      <c r="B61" s="5">
        <f>B47</f>
        <v>50306000</v>
      </c>
      <c r="C61" s="5">
        <f>C47</f>
        <v>36445000</v>
      </c>
      <c r="D61" s="5">
        <f>_xlfn.XLOOKUP(Analysis!$A61,Current_Year_Data[Company Name],Current_Year_Data[Allowance for Doubtful Accounts])</f>
        <v>-1200000</v>
      </c>
      <c r="E61" s="5">
        <f>_xlfn.XLOOKUP(Analysis!$A61,Previous_Year_Data[Company Name],Previous_Year_Data[Allowance for Doubtful Accounts])</f>
        <v>-1000000</v>
      </c>
      <c r="F61" s="6">
        <f>D61/B61</f>
        <v>-2.3854013437760904E-2</v>
      </c>
      <c r="G61" s="6">
        <f>E61/C61</f>
        <v>-2.7438606118809165E-2</v>
      </c>
      <c r="H61" s="4">
        <f>(F61/G61)-1</f>
        <v>-0.13064048026080388</v>
      </c>
    </row>
    <row r="62" spans="1:9" x14ac:dyDescent="0.2">
      <c r="A62" t="s">
        <v>15</v>
      </c>
      <c r="B62" s="5">
        <f t="shared" ref="B62:C62" si="21">B48</f>
        <v>32891000</v>
      </c>
      <c r="C62" s="5">
        <f t="shared" si="21"/>
        <v>24542000</v>
      </c>
      <c r="D62" s="5">
        <f>_xlfn.XLOOKUP(Analysis!$A62,Current_Year_Data[Company Name],Current_Year_Data[Allowance for Doubtful Accounts])</f>
        <v>-1000000</v>
      </c>
      <c r="E62" s="5">
        <f>_xlfn.XLOOKUP(Analysis!$A62,Previous_Year_Data[Company Name],Previous_Year_Data[Allowance for Doubtful Accounts])</f>
        <v>-1000000</v>
      </c>
      <c r="F62" s="6">
        <f t="shared" ref="F62:G70" si="22">D62/B62</f>
        <v>-3.0403453832355355E-2</v>
      </c>
      <c r="G62" s="6">
        <f t="shared" si="22"/>
        <v>-4.0746475429875313E-2</v>
      </c>
      <c r="H62" s="4">
        <f t="shared" ref="H62:H70" si="23">(F62/G62)-1</f>
        <v>-0.25383843604633483</v>
      </c>
    </row>
    <row r="63" spans="1:9" x14ac:dyDescent="0.2">
      <c r="A63" t="s">
        <v>16</v>
      </c>
      <c r="B63" s="5">
        <f t="shared" ref="B63:C63" si="24">B49</f>
        <v>2232500</v>
      </c>
      <c r="C63" s="5">
        <f t="shared" si="24"/>
        <v>1616100</v>
      </c>
      <c r="D63" s="5">
        <f>_xlfn.XLOOKUP(Analysis!$A63,Current_Year_Data[Company Name],Current_Year_Data[Allowance for Doubtful Accounts])</f>
        <v>0</v>
      </c>
      <c r="E63" s="5">
        <f>_xlfn.XLOOKUP(Analysis!$A63,Previous_Year_Data[Company Name],Previous_Year_Data[Allowance for Doubtful Accounts])</f>
        <v>0</v>
      </c>
      <c r="F63" s="6">
        <f>D63/B63</f>
        <v>0</v>
      </c>
      <c r="G63" s="6">
        <f t="shared" si="22"/>
        <v>0</v>
      </c>
      <c r="H63" s="4" t="e">
        <f t="shared" si="23"/>
        <v>#DIV/0!</v>
      </c>
    </row>
    <row r="64" spans="1:9" x14ac:dyDescent="0.2">
      <c r="A64" t="s">
        <v>17</v>
      </c>
      <c r="B64" s="5">
        <f t="shared" ref="B64:C64" si="25">B50</f>
        <v>2908000</v>
      </c>
      <c r="C64" s="5">
        <f t="shared" si="25"/>
        <v>4608300</v>
      </c>
      <c r="D64" s="5">
        <f>_xlfn.XLOOKUP(Analysis!$A64,Current_Year_Data[Company Name],Current_Year_Data[Allowance for Doubtful Accounts])</f>
        <v>-50000</v>
      </c>
      <c r="E64" s="5">
        <f>_xlfn.XLOOKUP(Analysis!$A64,Previous_Year_Data[Company Name],Previous_Year_Data[Allowance for Doubtful Accounts])</f>
        <v>-59700</v>
      </c>
      <c r="F64" s="6">
        <f t="shared" si="22"/>
        <v>-1.7193947730398899E-2</v>
      </c>
      <c r="G64" s="6">
        <f t="shared" si="22"/>
        <v>-1.2954885749625675E-2</v>
      </c>
      <c r="H64" s="4">
        <f t="shared" si="23"/>
        <v>0.3272172416414949</v>
      </c>
    </row>
    <row r="65" spans="1:8" x14ac:dyDescent="0.2">
      <c r="A65" t="s">
        <v>18</v>
      </c>
      <c r="B65" s="5">
        <f t="shared" ref="B65:C65" si="26">B51</f>
        <v>31663000</v>
      </c>
      <c r="C65" s="5">
        <f t="shared" si="26"/>
        <v>26226000</v>
      </c>
      <c r="D65" s="5">
        <f>_xlfn.XLOOKUP(Analysis!$A65,Current_Year_Data[Company Name],Current_Year_Data[Allowance for Doubtful Accounts])</f>
        <v>-1150000</v>
      </c>
      <c r="E65" s="5">
        <f>_xlfn.XLOOKUP(Analysis!$A65,Previous_Year_Data[Company Name],Previous_Year_Data[Allowance for Doubtful Accounts])</f>
        <v>-850000</v>
      </c>
      <c r="F65" s="6">
        <f t="shared" si="22"/>
        <v>-3.6319994946783313E-2</v>
      </c>
      <c r="G65" s="6">
        <f t="shared" si="22"/>
        <v>-3.2410584915732482E-2</v>
      </c>
      <c r="H65" s="4">
        <f t="shared" si="23"/>
        <v>0.12062139702863428</v>
      </c>
    </row>
    <row r="66" spans="1:8" x14ac:dyDescent="0.2">
      <c r="A66" t="s">
        <v>19</v>
      </c>
      <c r="B66" s="5">
        <f t="shared" ref="B66:C66" si="27">B52</f>
        <v>40258000</v>
      </c>
      <c r="C66" s="5">
        <f t="shared" si="27"/>
        <v>39304000</v>
      </c>
      <c r="D66" s="5">
        <f>_xlfn.XLOOKUP(Analysis!$A66,Current_Year_Data[Company Name],Current_Year_Data[Allowance for Doubtful Accounts])</f>
        <v>-754000</v>
      </c>
      <c r="E66" s="5">
        <f>_xlfn.XLOOKUP(Analysis!$A66,Previous_Year_Data[Company Name],Previous_Year_Data[Allowance for Doubtful Accounts])</f>
        <v>-550000</v>
      </c>
      <c r="F66" s="6">
        <f t="shared" si="22"/>
        <v>-1.8729196681404939E-2</v>
      </c>
      <c r="G66" s="6">
        <f t="shared" si="22"/>
        <v>-1.3993486668023612E-2</v>
      </c>
      <c r="H66" s="4">
        <f t="shared" si="23"/>
        <v>0.33842244793807219</v>
      </c>
    </row>
    <row r="67" spans="1:8" x14ac:dyDescent="0.2">
      <c r="A67" t="s">
        <v>20</v>
      </c>
      <c r="B67" s="5">
        <f t="shared" ref="B67:C67" si="28">B53</f>
        <v>13066000</v>
      </c>
      <c r="C67" s="5">
        <f t="shared" si="28"/>
        <v>13589000</v>
      </c>
      <c r="D67" s="5">
        <f>_xlfn.XLOOKUP(Analysis!$A67,Current_Year_Data[Company Name],Current_Year_Data[Allowance for Doubtful Accounts])</f>
        <v>-400000</v>
      </c>
      <c r="E67" s="5">
        <f>_xlfn.XLOOKUP(Analysis!$A67,Previous_Year_Data[Company Name],Previous_Year_Data[Allowance for Doubtful Accounts])</f>
        <v>-450000</v>
      </c>
      <c r="F67" s="6">
        <f t="shared" si="22"/>
        <v>-3.0613806826878923E-2</v>
      </c>
      <c r="G67" s="6">
        <f t="shared" si="22"/>
        <v>-3.3115019501067038E-2</v>
      </c>
      <c r="H67" s="4">
        <f t="shared" si="23"/>
        <v>-7.5531064510093948E-2</v>
      </c>
    </row>
    <row r="68" spans="1:8" x14ac:dyDescent="0.2">
      <c r="A68" t="s">
        <v>21</v>
      </c>
      <c r="B68" s="5">
        <f t="shared" ref="B68:C68" si="29">B54</f>
        <v>35261000</v>
      </c>
      <c r="C68" s="5">
        <f t="shared" si="29"/>
        <v>30043000</v>
      </c>
      <c r="D68" s="5">
        <f>_xlfn.XLOOKUP(Analysis!$A68,Current_Year_Data[Company Name],Current_Year_Data[Allowance for Doubtful Accounts])</f>
        <v>-633000</v>
      </c>
      <c r="E68" s="5">
        <f>_xlfn.XLOOKUP(Analysis!$A68,Previous_Year_Data[Company Name],Previous_Year_Data[Allowance for Doubtful Accounts])</f>
        <v>-751000</v>
      </c>
      <c r="F68" s="6">
        <f t="shared" si="22"/>
        <v>-1.7951844814384162E-2</v>
      </c>
      <c r="G68" s="6">
        <f t="shared" si="22"/>
        <v>-2.4997503578204572E-2</v>
      </c>
      <c r="H68" s="4">
        <f t="shared" si="23"/>
        <v>-0.28185449566106069</v>
      </c>
    </row>
    <row r="69" spans="1:8" x14ac:dyDescent="0.2">
      <c r="A69" t="s">
        <v>22</v>
      </c>
      <c r="B69" s="5">
        <f t="shared" ref="B69:C69" si="30">B55</f>
        <v>3727000</v>
      </c>
      <c r="C69" s="5">
        <f t="shared" si="30"/>
        <v>4500000</v>
      </c>
      <c r="D69" s="5">
        <f>_xlfn.XLOOKUP(Analysis!$A69,Current_Year_Data[Company Name],Current_Year_Data[Allowance for Doubtful Accounts])</f>
        <v>-100000</v>
      </c>
      <c r="E69" s="5">
        <f>_xlfn.XLOOKUP(Analysis!$A69,Previous_Year_Data[Company Name],Previous_Year_Data[Allowance for Doubtful Accounts])</f>
        <v>-150000</v>
      </c>
      <c r="F69" s="6">
        <f t="shared" si="22"/>
        <v>-2.6831231553528307E-2</v>
      </c>
      <c r="G69" s="6">
        <f t="shared" si="22"/>
        <v>-3.3333333333333333E-2</v>
      </c>
      <c r="H69" s="4">
        <f t="shared" si="23"/>
        <v>-0.19506305339415075</v>
      </c>
    </row>
    <row r="70" spans="1:8" x14ac:dyDescent="0.2">
      <c r="A70" t="s">
        <v>23</v>
      </c>
      <c r="B70" s="5">
        <f t="shared" ref="B70:C70" si="31">B56</f>
        <v>5953000</v>
      </c>
      <c r="C70" s="5">
        <f t="shared" si="31"/>
        <v>5409000</v>
      </c>
      <c r="D70" s="5">
        <f>_xlfn.XLOOKUP(Analysis!$A70,Current_Year_Data[Company Name],Current_Year_Data[Allowance for Doubtful Accounts])</f>
        <v>-362000</v>
      </c>
      <c r="E70" s="5">
        <f>_xlfn.XLOOKUP(Analysis!$A70,Previous_Year_Data[Company Name],Previous_Year_Data[Allowance for Doubtful Accounts])</f>
        <v>-373000</v>
      </c>
      <c r="F70" s="6">
        <f t="shared" si="22"/>
        <v>-6.0809675793717453E-2</v>
      </c>
      <c r="G70" s="6">
        <f t="shared" si="22"/>
        <v>-6.895914217045665E-2</v>
      </c>
      <c r="H70" s="4">
        <f t="shared" si="23"/>
        <v>-0.11817818668038149</v>
      </c>
    </row>
    <row r="71" spans="1:8" x14ac:dyDescent="0.2">
      <c r="D71" s="1"/>
      <c r="E71" s="1"/>
      <c r="F71" s="4"/>
      <c r="G71" s="2"/>
      <c r="H71" s="2"/>
    </row>
    <row r="72" spans="1:8" x14ac:dyDescent="0.2">
      <c r="F72" s="4"/>
    </row>
    <row r="74" spans="1:8" ht="16" thickBot="1" x14ac:dyDescent="0.25">
      <c r="A74" s="3" t="s">
        <v>37</v>
      </c>
      <c r="B74" s="3"/>
      <c r="C74" s="3"/>
    </row>
    <row r="75" spans="1:8" ht="16" thickBot="1" x14ac:dyDescent="0.25">
      <c r="A75" t="s">
        <v>0</v>
      </c>
      <c r="B75" t="s">
        <v>7</v>
      </c>
      <c r="C75" t="s">
        <v>3</v>
      </c>
      <c r="D75" t="s">
        <v>6</v>
      </c>
      <c r="E75" s="14" t="s">
        <v>38</v>
      </c>
    </row>
    <row r="76" spans="1:8" x14ac:dyDescent="0.2">
      <c r="A76" t="s">
        <v>14</v>
      </c>
      <c r="B76" s="5">
        <f>_xlfn.XLOOKUP(Analysis!$A76,Current_Year_Data[Company Name],Current_Year_Data[Net Income])</f>
        <v>99803000</v>
      </c>
      <c r="C76" s="5">
        <f>_xlfn.XLOOKUP(Analysis!$A76,Current_Year_Data[Company Name],Current_Year_Data[Operating Cash])</f>
        <v>122151000</v>
      </c>
      <c r="D76" s="5">
        <f>_xlfn.XLOOKUP(Analysis!$A76,Current_Year_Data[Company Name],Current_Year_Data[Total Assets])</f>
        <v>351002000</v>
      </c>
      <c r="E76" s="6">
        <f>(B76-C76)/D76</f>
        <v>-6.3669152882319766E-2</v>
      </c>
    </row>
    <row r="77" spans="1:8" x14ac:dyDescent="0.2">
      <c r="A77" t="s">
        <v>15</v>
      </c>
      <c r="B77" s="5">
        <f>_xlfn.XLOOKUP(Analysis!$A77,Current_Year_Data[Company Name],Current_Year_Data[Net Income])</f>
        <v>-2722000</v>
      </c>
      <c r="C77" s="5">
        <f>_xlfn.XLOOKUP(Analysis!$A77,Current_Year_Data[Company Name],Current_Year_Data[Operating Cash])</f>
        <v>36752000</v>
      </c>
      <c r="D77" s="5">
        <f>_xlfn.XLOOKUP(Analysis!$A77,Current_Year_Data[Company Name],Current_Year_Data[Total Assets])</f>
        <v>420549000</v>
      </c>
      <c r="E77" s="6">
        <f t="shared" ref="E77:E85" si="32">(B77-C77)/D77</f>
        <v>-9.3863021907078598E-2</v>
      </c>
    </row>
    <row r="78" spans="1:8" x14ac:dyDescent="0.2">
      <c r="A78" t="s">
        <v>16</v>
      </c>
      <c r="B78" s="5">
        <f>_xlfn.XLOOKUP(Analysis!$A78,Current_Year_Data[Company Name],Current_Year_Data[Net Income])</f>
        <v>5624200</v>
      </c>
      <c r="C78" s="5">
        <f>_xlfn.XLOOKUP(Analysis!$A78,Current_Year_Data[Company Name],Current_Year_Data[Operating Cash])</f>
        <v>2086800</v>
      </c>
      <c r="D78" s="5">
        <f>_xlfn.XLOOKUP(Analysis!$A78,Current_Year_Data[Company Name],Current_Year_Data[Total Assets])</f>
        <v>30231000</v>
      </c>
      <c r="E78" s="6">
        <f t="shared" si="32"/>
        <v>0.11701233832820615</v>
      </c>
    </row>
    <row r="79" spans="1:8" x14ac:dyDescent="0.2">
      <c r="A79" t="s">
        <v>17</v>
      </c>
      <c r="B79" s="5">
        <f>_xlfn.XLOOKUP(Analysis!$A79,Current_Year_Data[Company Name],Current_Year_Data[Net Income])</f>
        <v>11223000</v>
      </c>
      <c r="C79" s="5">
        <f>_xlfn.XLOOKUP(Analysis!$A79,Current_Year_Data[Company Name],Current_Year_Data[Operating Cash])</f>
        <v>16736000</v>
      </c>
      <c r="D79" s="5">
        <f>_xlfn.XLOOKUP(Analysis!$A79,Current_Year_Data[Company Name],Current_Year_Data[Total Assets])</f>
        <v>73249000</v>
      </c>
      <c r="E79" s="6">
        <f t="shared" si="32"/>
        <v>-7.5263826127319147E-2</v>
      </c>
    </row>
    <row r="80" spans="1:8" x14ac:dyDescent="0.2">
      <c r="A80" t="s">
        <v>18</v>
      </c>
      <c r="B80" s="5">
        <f>_xlfn.XLOOKUP(Analysis!$A80,Current_Year_Data[Company Name],Current_Year_Data[Net Income])</f>
        <v>61959000</v>
      </c>
      <c r="C80" s="5">
        <f>_xlfn.XLOOKUP(Analysis!$A80,Current_Year_Data[Company Name],Current_Year_Data[Operating Cash])</f>
        <v>142759000</v>
      </c>
      <c r="D80" s="5">
        <f>_xlfn.XLOOKUP(Analysis!$A80,Current_Year_Data[Company Name],Current_Year_Data[Total Assets])</f>
        <v>1695553000</v>
      </c>
      <c r="E80" s="6">
        <f t="shared" si="32"/>
        <v>-4.7654069203380847E-2</v>
      </c>
    </row>
    <row r="81" spans="1:13" x14ac:dyDescent="0.2">
      <c r="A81" t="s">
        <v>19</v>
      </c>
      <c r="B81" s="5">
        <f>_xlfn.XLOOKUP(Analysis!$A81,Current_Year_Data[Company Name],Current_Year_Data[Net Income])</f>
        <v>59972000</v>
      </c>
      <c r="C81" s="5">
        <f>_xlfn.XLOOKUP(Analysis!$A81,Current_Year_Data[Company Name],Current_Year_Data[Operating Cash])</f>
        <v>91495000</v>
      </c>
      <c r="D81" s="5">
        <f>_xlfn.XLOOKUP(Analysis!$A81,Current_Year_Data[Company Name],Current_Year_Data[Total Assets])</f>
        <v>365264000</v>
      </c>
      <c r="E81" s="6">
        <f t="shared" si="32"/>
        <v>-8.6301962416224981E-2</v>
      </c>
    </row>
    <row r="82" spans="1:13" x14ac:dyDescent="0.2">
      <c r="A82" t="s">
        <v>20</v>
      </c>
      <c r="B82" s="5">
        <f>_xlfn.XLOOKUP(Analysis!$A82,Current_Year_Data[Company Name],Current_Year_Data[Net Income])</f>
        <v>23200000</v>
      </c>
      <c r="C82" s="5">
        <f>_xlfn.XLOOKUP(Analysis!$A82,Current_Year_Data[Company Name],Current_Year_Data[Operating Cash])</f>
        <v>40475000</v>
      </c>
      <c r="D82" s="5">
        <f>_xlfn.XLOOKUP(Analysis!$A82,Current_Year_Data[Company Name],Current_Year_Data[Total Assets])</f>
        <v>185737000</v>
      </c>
      <c r="E82" s="6">
        <f t="shared" si="32"/>
        <v>-9.3007855193095609E-2</v>
      </c>
    </row>
    <row r="83" spans="1:13" x14ac:dyDescent="0.2">
      <c r="A83" t="s">
        <v>21</v>
      </c>
      <c r="B83" s="5">
        <f>_xlfn.XLOOKUP(Analysis!$A83,Current_Year_Data[Company Name],Current_Year_Data[Net Income])</f>
        <v>72738000</v>
      </c>
      <c r="C83" s="5">
        <f>_xlfn.XLOOKUP(Analysis!$A83,Current_Year_Data[Company Name],Current_Year_Data[Operating Cash])</f>
        <v>89035000</v>
      </c>
      <c r="D83" s="5">
        <f>_xlfn.XLOOKUP(Analysis!$A83,Current_Year_Data[Company Name],Current_Year_Data[Total Assets])</f>
        <v>364840000</v>
      </c>
      <c r="E83" s="6">
        <f t="shared" si="32"/>
        <v>-4.4668895954390969E-2</v>
      </c>
    </row>
    <row r="84" spans="1:13" x14ac:dyDescent="0.2">
      <c r="A84" t="s">
        <v>22</v>
      </c>
      <c r="B84" s="5">
        <f>_xlfn.XLOOKUP(Analysis!$A84,Current_Year_Data[Company Name],Current_Year_Data[Net Income])</f>
        <v>4368000</v>
      </c>
      <c r="C84" s="5">
        <f>_xlfn.XLOOKUP(Analysis!$A84,Current_Year_Data[Company Name],Current_Year_Data[Operating Cash])</f>
        <v>5641000</v>
      </c>
      <c r="D84" s="5">
        <f>_xlfn.XLOOKUP(Analysis!$A84,Current_Year_Data[Company Name],Current_Year_Data[Total Assets])</f>
        <v>41182000</v>
      </c>
      <c r="E84" s="6">
        <f t="shared" si="32"/>
        <v>-3.0911563304356272E-2</v>
      </c>
    </row>
    <row r="85" spans="1:13" x14ac:dyDescent="0.2">
      <c r="A85" t="s">
        <v>23</v>
      </c>
      <c r="B85" s="5">
        <f>_xlfn.XLOOKUP(Analysis!$A85,Current_Year_Data[Company Name],Current_Year_Data[Net Income])</f>
        <v>6717000</v>
      </c>
      <c r="C85" s="5">
        <f>_xlfn.XLOOKUP(Analysis!$A85,Current_Year_Data[Company Name],Current_Year_Data[Operating Cash])</f>
        <v>9539000</v>
      </c>
      <c r="D85" s="5">
        <f>_xlfn.XLOOKUP(Analysis!$A85,Current_Year_Data[Company Name],Current_Year_Data[Total Assets])</f>
        <v>109297000</v>
      </c>
      <c r="E85" s="6">
        <f t="shared" si="32"/>
        <v>-2.5819555888999698E-2</v>
      </c>
    </row>
    <row r="86" spans="1:13" x14ac:dyDescent="0.2">
      <c r="B86" s="5"/>
      <c r="C86" s="5"/>
      <c r="F86" s="6"/>
    </row>
    <row r="87" spans="1:13" x14ac:dyDescent="0.2">
      <c r="L87" s="7"/>
      <c r="M87" s="7"/>
    </row>
    <row r="88" spans="1:13" x14ac:dyDescent="0.2">
      <c r="L88" s="7"/>
      <c r="M88" s="7"/>
    </row>
    <row r="89" spans="1:13" x14ac:dyDescent="0.2">
      <c r="A89" s="3" t="s">
        <v>39</v>
      </c>
      <c r="B89" s="3"/>
      <c r="C89" s="3"/>
      <c r="L89" s="7"/>
      <c r="M89" s="7"/>
    </row>
    <row r="90" spans="1:13" ht="16" thickBot="1" x14ac:dyDescent="0.25">
      <c r="A90" s="17">
        <v>-4.84</v>
      </c>
      <c r="B90" s="17">
        <v>0.92</v>
      </c>
      <c r="C90" s="17">
        <v>0.52800000000000002</v>
      </c>
      <c r="D90" s="17">
        <v>0.40400000000000003</v>
      </c>
      <c r="E90" s="17">
        <v>0.89200000000000002</v>
      </c>
      <c r="F90" s="17">
        <v>0.115</v>
      </c>
      <c r="G90" s="17">
        <v>-0.17199999999999999</v>
      </c>
      <c r="H90" s="17">
        <v>-0.32700000000000001</v>
      </c>
      <c r="I90" s="17">
        <v>4.6790000000000003</v>
      </c>
      <c r="L90" s="7"/>
      <c r="M90" s="7"/>
    </row>
    <row r="91" spans="1:13" ht="16" thickBot="1" x14ac:dyDescent="0.25">
      <c r="A91" t="s">
        <v>0</v>
      </c>
      <c r="B91" s="9" t="s">
        <v>40</v>
      </c>
      <c r="C91" s="11" t="s">
        <v>41</v>
      </c>
      <c r="D91" s="11" t="s">
        <v>42</v>
      </c>
      <c r="E91" s="11" t="s">
        <v>43</v>
      </c>
      <c r="F91" s="11" t="s">
        <v>44</v>
      </c>
      <c r="G91" s="11" t="s">
        <v>45</v>
      </c>
      <c r="H91" s="11" t="s">
        <v>46</v>
      </c>
      <c r="I91" s="11" t="s">
        <v>47</v>
      </c>
      <c r="J91" s="10" t="s">
        <v>62</v>
      </c>
      <c r="L91" s="7"/>
      <c r="M91" s="7"/>
    </row>
    <row r="92" spans="1:13" x14ac:dyDescent="0.2">
      <c r="A92" t="s">
        <v>14</v>
      </c>
      <c r="B92" s="19">
        <f>(B61/B33)/(C61/C33)</f>
        <v>1.2805251119677965</v>
      </c>
      <c r="C92" s="19">
        <f>((C33-E19)/C33)/((B33-D19)/B33)</f>
        <v>0.96466672847683943</v>
      </c>
      <c r="D92" s="19">
        <f>((_xlfn.XLOOKUP(Analysis!$A92,Current_Year_Data[Company Name],Current_Year_Data[Non Current Assets])-(_xlfn.XLOOKUP(Analysis!$A92,Current_Year_Data[Company Name],Current_Year_Data[PPE])))/D76)/((_xlfn.XLOOKUP(Analysis!$A92,Previous_Year_Data[Company Name],Previous_Year_Data[Non Current Assets])-(_xlfn.XLOOKUP(Analysis!$A92,Previous_Year_Data[Company Name],Previous_Year_Data[PPE])))/_xlfn.XLOOKUP(Analysis!$A92,Previous_Year_Data[Company Name],Previous_Year_Data[Total Assets]))</f>
        <v>1.1371278783529122</v>
      </c>
      <c r="E92" s="19">
        <f>D47/E47</f>
        <v>1.0779378760418461</v>
      </c>
      <c r="F92" s="19">
        <f>(_xlfn.XLOOKUP(Analysis!$A92,Previous_Year_Data[Company Name],Previous_Year_Data[Depreciation Expense])/(_xlfn.XLOOKUP(Analysis!$A92,Previous_Year_Data[Company Name],Previous_Year_Data[Depreciation Expense])+_xlfn.XLOOKUP(Analysis!$A92,Previous_Year_Data[Company Name],Previous_Year_Data[PPE])))/(_xlfn.XLOOKUP(Analysis!$A92,Current_Year_Data[Company Name],Current_Year_Data[Depreciation Expense])/(_xlfn.XLOOKUP(Analysis!$A92,Current_Year_Data[Company Name],Current_Year_Data[Depreciation Expense])+_xlfn.XLOOKUP(Analysis!$A92,Current_Year_Data[Company Name],Current_Year_Data[PPE])))</f>
        <v>2.2196660474009189</v>
      </c>
      <c r="G92" s="19">
        <f>(_xlfn.XLOOKUP(Analysis!$A92,Current_Year_Data[Company Name],Current_Year_Data[SGA Expense])/D47)/ (_xlfn.XLOOKUP(Analysis!$A92,Previous_Year_Data[Company Name],Previous_Year_Data[SGA Expense])/E47)</f>
        <v>1.0623179116209922</v>
      </c>
      <c r="H92" s="19">
        <f>(_xlfn.XLOOKUP(Analysis!$A92,Current_Year_Data[Company Name],Current_Year_Data[Total Debt])/_xlfn.XLOOKUP(Analysis!$A92,Current_Year_Data[Company Name],Current_Year_Data[Total Assets]))/(_xlfn.XLOOKUP(Analysis!$A92,Previous_Year_Data[Company Name],Previous_Year_Data[Total Debt])/_xlfn.XLOOKUP(Analysis!$A92,Previous_Year_Data[Company Name],Previous_Year_Data[Total Assets]))</f>
        <v>1.023558100959105</v>
      </c>
      <c r="I92" s="19">
        <f>(B76-C76)/D76</f>
        <v>-6.3669152882319766E-2</v>
      </c>
      <c r="J92" s="19">
        <f>SUMPRODUCT($B$90:$I$90,B92:I92)+$A$90</f>
        <v>-2.2917211667676591</v>
      </c>
      <c r="L92" s="7"/>
      <c r="M92" s="7"/>
    </row>
    <row r="93" spans="1:13" x14ac:dyDescent="0.2">
      <c r="A93" t="s">
        <v>15</v>
      </c>
      <c r="B93" s="19">
        <f t="shared" ref="B93:B101" si="33">(B62/B34)/(C62/C34)</f>
        <v>1.2250440924068207</v>
      </c>
      <c r="C93" s="19">
        <f t="shared" ref="C93:C101" si="34">((C34-E20)/C34)/((B34-D20)/B34)</f>
        <v>1.0725649005560574</v>
      </c>
      <c r="D93" s="19">
        <f>((_xlfn.XLOOKUP(Analysis!$A93,Current_Year_Data[Company Name],Current_Year_Data[Non Current Assets])-(_xlfn.XLOOKUP(Analysis!$A93,Current_Year_Data[Company Name],Current_Year_Data[PPE])))/D77)/((_xlfn.XLOOKUP(Analysis!$A93,Previous_Year_Data[Company Name],Previous_Year_Data[Non Current Assets])-(_xlfn.XLOOKUP(Analysis!$A93,Previous_Year_Data[Company Name],Previous_Year_Data[PPE])))/_xlfn.XLOOKUP(Analysis!$A93,Previous_Year_Data[Company Name],Previous_Year_Data[Total Assets]))</f>
        <v>0.8609711216811482</v>
      </c>
      <c r="E93" s="19">
        <f t="shared" ref="E93:E101" si="35">D48/E48</f>
        <v>1.0939951726398509</v>
      </c>
      <c r="F93" s="19">
        <f>(_xlfn.XLOOKUP(Analysis!$A93,Previous_Year_Data[Company Name],Previous_Year_Data[Depreciation Expense])/(_xlfn.XLOOKUP(Analysis!$A93,Previous_Year_Data[Company Name],Previous_Year_Data[Depreciation Expense])+_xlfn.XLOOKUP(Analysis!$A93,Previous_Year_Data[Company Name],Previous_Year_Data[PPE])))/(_xlfn.XLOOKUP(Analysis!$A93,Current_Year_Data[Company Name],Current_Year_Data[Depreciation Expense])/(_xlfn.XLOOKUP(Analysis!$A93,Current_Year_Data[Company Name],Current_Year_Data[Depreciation Expense])+_xlfn.XLOOKUP(Analysis!$A93,Current_Year_Data[Company Name],Current_Year_Data[PPE])))</f>
        <v>1.142416532513602</v>
      </c>
      <c r="G93" s="19">
        <f>(_xlfn.XLOOKUP(Analysis!$A93,Current_Year_Data[Company Name],Current_Year_Data[SGA Expense])/D48)/ (_xlfn.XLOOKUP(Analysis!$A93,Previous_Year_Data[Company Name],Previous_Year_Data[SGA Expense])/E48)</f>
        <v>1.1958785827810914</v>
      </c>
      <c r="H93" s="19">
        <f>(_xlfn.XLOOKUP(Analysis!$A93,Current_Year_Data[Company Name],Current_Year_Data[Total Debt])/_xlfn.XLOOKUP(Analysis!$A93,Current_Year_Data[Company Name],Current_Year_Data[Total Assets]))/(_xlfn.XLOOKUP(Analysis!$A93,Previous_Year_Data[Company Name],Previous_Year_Data[Total Debt])/_xlfn.XLOOKUP(Analysis!$A93,Previous_Year_Data[Company Name],Previous_Year_Data[Total Assets]))</f>
        <v>0.94652620486122707</v>
      </c>
      <c r="I93" s="19">
        <f t="shared" ref="I93:I101" si="36">(B77-C77)/D77</f>
        <v>-9.3863021907078598E-2</v>
      </c>
      <c r="J93" s="19">
        <f t="shared" ref="J93:J101" si="37">SUMPRODUCT($B$90:$I$90,B93:I93)+$A$90</f>
        <v>-2.6459815038303209</v>
      </c>
      <c r="L93" s="7"/>
      <c r="M93" s="7"/>
    </row>
    <row r="94" spans="1:13" x14ac:dyDescent="0.2">
      <c r="A94" t="s">
        <v>16</v>
      </c>
      <c r="B94" s="19">
        <f t="shared" si="33"/>
        <v>1.211764948538663</v>
      </c>
      <c r="C94" s="19">
        <f t="shared" si="34"/>
        <v>11.977638447876863</v>
      </c>
      <c r="D94" s="19">
        <f>((_xlfn.XLOOKUP(Analysis!$A94,Current_Year_Data[Company Name],Current_Year_Data[Non Current Assets])-(_xlfn.XLOOKUP(Analysis!$A94,Current_Year_Data[Company Name],Current_Year_Data[PPE])))/D78)/((_xlfn.XLOOKUP(Analysis!$A94,Previous_Year_Data[Company Name],Previous_Year_Data[Non Current Assets])-(_xlfn.XLOOKUP(Analysis!$A94,Previous_Year_Data[Company Name],Previous_Year_Data[PPE])))/_xlfn.XLOOKUP(Analysis!$A94,Previous_Year_Data[Company Name],Previous_Year_Data[Total Assets]))</f>
        <v>0.90843145641134082</v>
      </c>
      <c r="E94" s="19">
        <f t="shared" si="35"/>
        <v>1.1399999999999999</v>
      </c>
      <c r="F94" s="19">
        <f>(_xlfn.XLOOKUP(Analysis!$A94,Previous_Year_Data[Company Name],Previous_Year_Data[Depreciation Expense])/(_xlfn.XLOOKUP(Analysis!$A94,Previous_Year_Data[Company Name],Previous_Year_Data[Depreciation Expense])+_xlfn.XLOOKUP(Analysis!$A94,Previous_Year_Data[Company Name],Previous_Year_Data[PPE])))/(_xlfn.XLOOKUP(Analysis!$A94,Current_Year_Data[Company Name],Current_Year_Data[Depreciation Expense])/(_xlfn.XLOOKUP(Analysis!$A94,Current_Year_Data[Company Name],Current_Year_Data[Depreciation Expense])+_xlfn.XLOOKUP(Analysis!$A94,Current_Year_Data[Company Name],Current_Year_Data[PPE])))</f>
        <v>1.1257844301698807</v>
      </c>
      <c r="G94" s="19">
        <f>(_xlfn.XLOOKUP(Analysis!$A94,Current_Year_Data[Company Name],Current_Year_Data[SGA Expense])/D49)/ (_xlfn.XLOOKUP(Analysis!$A94,Previous_Year_Data[Company Name],Previous_Year_Data[SGA Expense])/E49)</f>
        <v>1.1435182498694367</v>
      </c>
      <c r="H94" s="19">
        <f>(_xlfn.XLOOKUP(Analysis!$A94,Current_Year_Data[Company Name],Current_Year_Data[Total Debt])/_xlfn.XLOOKUP(Analysis!$A94,Current_Year_Data[Company Name],Current_Year_Data[Total Assets]))/(_xlfn.XLOOKUP(Analysis!$A94,Previous_Year_Data[Company Name],Previous_Year_Data[Total Debt])/_xlfn.XLOOKUP(Analysis!$A94,Previous_Year_Data[Company Name],Previous_Year_Data[Total Assets]))</f>
        <v>1.3521042747741363</v>
      </c>
      <c r="I94" s="19">
        <f t="shared" si="36"/>
        <v>0.11701233832820615</v>
      </c>
      <c r="J94" s="19">
        <f t="shared" si="37"/>
        <v>4.0210458652032646</v>
      </c>
      <c r="L94" s="7"/>
      <c r="M94" s="7"/>
    </row>
    <row r="95" spans="1:13" x14ac:dyDescent="0.2">
      <c r="A95" t="s">
        <v>17</v>
      </c>
      <c r="B95" s="19">
        <f t="shared" si="33"/>
        <v>0.52169741125467395</v>
      </c>
      <c r="C95" s="19">
        <f t="shared" si="34"/>
        <v>0.92211737113004733</v>
      </c>
      <c r="D95" s="19">
        <f>((_xlfn.XLOOKUP(Analysis!$A95,Current_Year_Data[Company Name],Current_Year_Data[Non Current Assets])-(_xlfn.XLOOKUP(Analysis!$A95,Current_Year_Data[Company Name],Current_Year_Data[PPE])))/D79)/((_xlfn.XLOOKUP(Analysis!$A95,Previous_Year_Data[Company Name],Previous_Year_Data[Non Current Assets])-(_xlfn.XLOOKUP(Analysis!$A95,Previous_Year_Data[Company Name],Previous_Year_Data[PPE])))/_xlfn.XLOOKUP(Analysis!$A95,Previous_Year_Data[Company Name],Previous_Year_Data[Total Assets]))</f>
        <v>0.95674544760304414</v>
      </c>
      <c r="E95" s="19">
        <f t="shared" si="35"/>
        <v>1.2095810564663023</v>
      </c>
      <c r="F95" s="19">
        <f>(_xlfn.XLOOKUP(Analysis!$A95,Previous_Year_Data[Company Name],Previous_Year_Data[Depreciation Expense])/(_xlfn.XLOOKUP(Analysis!$A95,Previous_Year_Data[Company Name],Previous_Year_Data[Depreciation Expense])+_xlfn.XLOOKUP(Analysis!$A95,Previous_Year_Data[Company Name],Previous_Year_Data[PPE])))/(_xlfn.XLOOKUP(Analysis!$A95,Current_Year_Data[Company Name],Current_Year_Data[Depreciation Expense])/(_xlfn.XLOOKUP(Analysis!$A95,Current_Year_Data[Company Name],Current_Year_Data[Depreciation Expense])+_xlfn.XLOOKUP(Analysis!$A95,Current_Year_Data[Company Name],Current_Year_Data[PPE])))</f>
        <v>1.0412982289541817</v>
      </c>
      <c r="G95" s="19">
        <f>(_xlfn.XLOOKUP(Analysis!$A95,Current_Year_Data[Company Name],Current_Year_Data[SGA Expense])/D50)/ (_xlfn.XLOOKUP(Analysis!$A95,Previous_Year_Data[Company Name],Previous_Year_Data[SGA Expense])/E50)</f>
        <v>0.84821406711377345</v>
      </c>
      <c r="H95" s="19">
        <f>(_xlfn.XLOOKUP(Analysis!$A95,Current_Year_Data[Company Name],Current_Year_Data[Total Debt])/_xlfn.XLOOKUP(Analysis!$A95,Current_Year_Data[Company Name],Current_Year_Data[Total Assets]))/(_xlfn.XLOOKUP(Analysis!$A95,Previous_Year_Data[Company Name],Previous_Year_Data[Total Debt])/_xlfn.XLOOKUP(Analysis!$A95,Previous_Year_Data[Company Name],Previous_Year_Data[Total Assets]))</f>
        <v>1.0308501739298288</v>
      </c>
      <c r="I95" s="19">
        <f t="shared" si="36"/>
        <v>-7.5263826127319147E-2</v>
      </c>
      <c r="J95" s="19">
        <f t="shared" si="37"/>
        <v>-3.1230799190280809</v>
      </c>
      <c r="L95" s="7"/>
      <c r="M95" s="7"/>
    </row>
    <row r="96" spans="1:13" x14ac:dyDescent="0.2">
      <c r="A96" t="s">
        <v>18</v>
      </c>
      <c r="B96" s="19">
        <f t="shared" si="33"/>
        <v>1.015157852272742</v>
      </c>
      <c r="C96" s="19">
        <f t="shared" si="34"/>
        <v>1.159798205465576</v>
      </c>
      <c r="D96" s="19">
        <f>((_xlfn.XLOOKUP(Analysis!$A96,Current_Year_Data[Company Name],Current_Year_Data[Non Current Assets])-(_xlfn.XLOOKUP(Analysis!$A96,Current_Year_Data[Company Name],Current_Year_Data[PPE])))/D80)/((_xlfn.XLOOKUP(Analysis!$A96,Previous_Year_Data[Company Name],Previous_Year_Data[Non Current Assets])-(_xlfn.XLOOKUP(Analysis!$A96,Previous_Year_Data[Company Name],Previous_Year_Data[PPE])))/_xlfn.XLOOKUP(Analysis!$A96,Previous_Year_Data[Company Name],Previous_Year_Data[Total Assets]))</f>
        <v>0.96813245697049433</v>
      </c>
      <c r="E96" s="19">
        <f t="shared" si="35"/>
        <v>1.1892863267107121</v>
      </c>
      <c r="F96" s="19">
        <f>(_xlfn.XLOOKUP(Analysis!$A96,Previous_Year_Data[Company Name],Previous_Year_Data[Depreciation Expense])/(_xlfn.XLOOKUP(Analysis!$A96,Previous_Year_Data[Company Name],Previous_Year_Data[Depreciation Expense])+_xlfn.XLOOKUP(Analysis!$A96,Previous_Year_Data[Company Name],Previous_Year_Data[PPE])))/(_xlfn.XLOOKUP(Analysis!$A96,Current_Year_Data[Company Name],Current_Year_Data[Depreciation Expense])/(_xlfn.XLOOKUP(Analysis!$A96,Current_Year_Data[Company Name],Current_Year_Data[Depreciation Expense])+_xlfn.XLOOKUP(Analysis!$A96,Current_Year_Data[Company Name],Current_Year_Data[PPE])))</f>
        <v>1.1240883980459047</v>
      </c>
      <c r="G96" s="19">
        <f>(_xlfn.XLOOKUP(Analysis!$A96,Current_Year_Data[Company Name],Current_Year_Data[SGA Expense])/D51)/ (_xlfn.XLOOKUP(Analysis!$A96,Previous_Year_Data[Company Name],Previous_Year_Data[SGA Expense])/E51)</f>
        <v>0.93294097335272808</v>
      </c>
      <c r="H96" s="19">
        <f>(_xlfn.XLOOKUP(Analysis!$A96,Current_Year_Data[Company Name],Current_Year_Data[Total Debt])/_xlfn.XLOOKUP(Analysis!$A96,Current_Year_Data[Company Name],Current_Year_Data[Total Assets]))/(_xlfn.XLOOKUP(Analysis!$A96,Previous_Year_Data[Company Name],Previous_Year_Data[Total Debt])/_xlfn.XLOOKUP(Analysis!$A96,Previous_Year_Data[Company Name],Previous_Year_Data[Total Assets]))</f>
        <v>1.0079891384633568</v>
      </c>
      <c r="I96" s="19">
        <f t="shared" si="36"/>
        <v>-4.7654069203380847E-2</v>
      </c>
      <c r="J96" s="19">
        <f t="shared" si="37"/>
        <v>-2.4254939271027451</v>
      </c>
      <c r="L96" s="7"/>
      <c r="M96" s="7"/>
    </row>
    <row r="97" spans="1:12" x14ac:dyDescent="0.2">
      <c r="A97" t="s">
        <v>19</v>
      </c>
      <c r="B97" s="19">
        <f t="shared" si="33"/>
        <v>0.93301578485028835</v>
      </c>
      <c r="C97" s="19">
        <f t="shared" si="34"/>
        <v>1.0281758054370289</v>
      </c>
      <c r="D97" s="19">
        <f>((_xlfn.XLOOKUP(Analysis!$A97,Current_Year_Data[Company Name],Current_Year_Data[Non Current Assets])-(_xlfn.XLOOKUP(Analysis!$A97,Current_Year_Data[Company Name],Current_Year_Data[PPE])))/D81)/((_xlfn.XLOOKUP(Analysis!$A97,Previous_Year_Data[Company Name],Previous_Year_Data[Non Current Assets])-(_xlfn.XLOOKUP(Analysis!$A97,Previous_Year_Data[Company Name],Previous_Year_Data[PPE])))/_xlfn.XLOOKUP(Analysis!$A97,Previous_Year_Data[Company Name],Previous_Year_Data[Total Assets]))</f>
        <v>1.1923121868269078</v>
      </c>
      <c r="E97" s="19">
        <f t="shared" si="35"/>
        <v>1.0978081564371578</v>
      </c>
      <c r="F97" s="19">
        <f>(_xlfn.XLOOKUP(Analysis!$A97,Previous_Year_Data[Company Name],Previous_Year_Data[Depreciation Expense])/(_xlfn.XLOOKUP(Analysis!$A97,Previous_Year_Data[Company Name],Previous_Year_Data[Depreciation Expense])+_xlfn.XLOOKUP(Analysis!$A97,Previous_Year_Data[Company Name],Previous_Year_Data[PPE])))/(_xlfn.XLOOKUP(Analysis!$A97,Current_Year_Data[Company Name],Current_Year_Data[Depreciation Expense])/(_xlfn.XLOOKUP(Analysis!$A97,Current_Year_Data[Company Name],Current_Year_Data[Depreciation Expense])+_xlfn.XLOOKUP(Analysis!$A97,Current_Year_Data[Company Name],Current_Year_Data[PPE])))</f>
        <v>0.90795050321529736</v>
      </c>
      <c r="G97" s="19">
        <f>(_xlfn.XLOOKUP(Analysis!$A97,Current_Year_Data[Company Name],Current_Year_Data[SGA Expense])/D52)/ (_xlfn.XLOOKUP(Analysis!$A97,Previous_Year_Data[Company Name],Previous_Year_Data[SGA Expense])/E52)</f>
        <v>1.057688326782559</v>
      </c>
      <c r="H97" s="19">
        <f>(_xlfn.XLOOKUP(Analysis!$A97,Current_Year_Data[Company Name],Current_Year_Data[Total Debt])/_xlfn.XLOOKUP(Analysis!$A97,Current_Year_Data[Company Name],Current_Year_Data[Total Assets]))/(_xlfn.XLOOKUP(Analysis!$A97,Previous_Year_Data[Company Name],Previous_Year_Data[Total Debt])/_xlfn.XLOOKUP(Analysis!$A97,Previous_Year_Data[Company Name],Previous_Year_Data[Total Assets]))</f>
        <v>0.99717315329567324</v>
      </c>
      <c r="I97" s="19">
        <f t="shared" si="36"/>
        <v>-8.6301962416224981E-2</v>
      </c>
      <c r="J97" s="19">
        <f t="shared" si="37"/>
        <v>-2.7852002412570105</v>
      </c>
      <c r="L97" s="7"/>
    </row>
    <row r="98" spans="1:12" x14ac:dyDescent="0.2">
      <c r="A98" t="s">
        <v>20</v>
      </c>
      <c r="B98" s="19">
        <f t="shared" si="33"/>
        <v>0.97239720102660798</v>
      </c>
      <c r="C98" s="19">
        <f t="shared" si="34"/>
        <v>1.0312337372278926</v>
      </c>
      <c r="D98" s="19">
        <f>((_xlfn.XLOOKUP(Analysis!$A98,Current_Year_Data[Company Name],Current_Year_Data[Non Current Assets])-(_xlfn.XLOOKUP(Analysis!$A98,Current_Year_Data[Company Name],Current_Year_Data[PPE])))/D82)/((_xlfn.XLOOKUP(Analysis!$A98,Previous_Year_Data[Company Name],Previous_Year_Data[Non Current Assets])-(_xlfn.XLOOKUP(Analysis!$A98,Previous_Year_Data[Company Name],Previous_Year_Data[PPE])))/_xlfn.XLOOKUP(Analysis!$A98,Previous_Year_Data[Company Name],Previous_Year_Data[Total Assets]))</f>
        <v>1.1259343882895683</v>
      </c>
      <c r="E98" s="19">
        <f t="shared" si="35"/>
        <v>0.98880682444521706</v>
      </c>
      <c r="F98" s="19">
        <f>(_xlfn.XLOOKUP(Analysis!$A98,Previous_Year_Data[Company Name],Previous_Year_Data[Depreciation Expense])/(_xlfn.XLOOKUP(Analysis!$A98,Previous_Year_Data[Company Name],Previous_Year_Data[Depreciation Expense])+_xlfn.XLOOKUP(Analysis!$A98,Previous_Year_Data[Company Name],Previous_Year_Data[PPE])))/(_xlfn.XLOOKUP(Analysis!$A98,Current_Year_Data[Company Name],Current_Year_Data[Depreciation Expense])/(_xlfn.XLOOKUP(Analysis!$A98,Current_Year_Data[Company Name],Current_Year_Data[Depreciation Expense])+_xlfn.XLOOKUP(Analysis!$A98,Current_Year_Data[Company Name],Current_Year_Data[PPE])))</f>
        <v>1.1872902495829476</v>
      </c>
      <c r="G98" s="19">
        <f>(_xlfn.XLOOKUP(Analysis!$A98,Current_Year_Data[Company Name],Current_Year_Data[SGA Expense])/D53)/ (_xlfn.XLOOKUP(Analysis!$A98,Previous_Year_Data[Company Name],Previous_Year_Data[SGA Expense])/E53)</f>
        <v>1.1471397342869689</v>
      </c>
      <c r="H98" s="19">
        <f>(_xlfn.XLOOKUP(Analysis!$A98,Current_Year_Data[Company Name],Current_Year_Data[Total Debt])/_xlfn.XLOOKUP(Analysis!$A98,Current_Year_Data[Company Name],Current_Year_Data[Total Assets]))/(_xlfn.XLOOKUP(Analysis!$A98,Previous_Year_Data[Company Name],Previous_Year_Data[Total Debt])/_xlfn.XLOOKUP(Analysis!$A98,Previous_Year_Data[Company Name],Previous_Year_Data[Total Assets]))</f>
        <v>1.3046736018992022</v>
      </c>
      <c r="I98" s="19">
        <f t="shared" si="36"/>
        <v>-9.3007855193095609E-2</v>
      </c>
      <c r="J98" s="19">
        <f t="shared" si="37"/>
        <v>-2.9865916593899273</v>
      </c>
      <c r="L98" s="7"/>
    </row>
    <row r="99" spans="1:12" x14ac:dyDescent="0.2">
      <c r="A99" t="s">
        <v>21</v>
      </c>
      <c r="B99" s="19">
        <f t="shared" si="33"/>
        <v>0.99501821266890056</v>
      </c>
      <c r="C99" s="19">
        <f t="shared" si="34"/>
        <v>1.0076624774274494</v>
      </c>
      <c r="D99" s="19">
        <f>((_xlfn.XLOOKUP(Analysis!$A99,Current_Year_Data[Company Name],Current_Year_Data[Non Current Assets])-(_xlfn.XLOOKUP(Analysis!$A99,Current_Year_Data[Company Name],Current_Year_Data[PPE])))/D83)/((_xlfn.XLOOKUP(Analysis!$A99,Previous_Year_Data[Company Name],Previous_Year_Data[Non Current Assets])-(_xlfn.XLOOKUP(Analysis!$A99,Previous_Year_Data[Company Name],Previous_Year_Data[PPE])))/_xlfn.XLOOKUP(Analysis!$A99,Previous_Year_Data[Company Name],Previous_Year_Data[Total Assets]))</f>
        <v>1.2530039508706898</v>
      </c>
      <c r="E99" s="19">
        <f t="shared" si="35"/>
        <v>1.1795607062967017</v>
      </c>
      <c r="F99" s="19">
        <f>(_xlfn.XLOOKUP(Analysis!$A99,Previous_Year_Data[Company Name],Previous_Year_Data[Depreciation Expense])/(_xlfn.XLOOKUP(Analysis!$A99,Previous_Year_Data[Company Name],Previous_Year_Data[Depreciation Expense])+_xlfn.XLOOKUP(Analysis!$A99,Previous_Year_Data[Company Name],Previous_Year_Data[PPE])))/(_xlfn.XLOOKUP(Analysis!$A99,Current_Year_Data[Company Name],Current_Year_Data[Depreciation Expense])/(_xlfn.XLOOKUP(Analysis!$A99,Current_Year_Data[Company Name],Current_Year_Data[Depreciation Expense])+_xlfn.XLOOKUP(Analysis!$A99,Current_Year_Data[Company Name],Current_Year_Data[PPE])))</f>
        <v>0.99937220851124153</v>
      </c>
      <c r="G99" s="19">
        <f>(_xlfn.XLOOKUP(Analysis!$A99,Current_Year_Data[Company Name],Current_Year_Data[SGA Expense])/D54)/ (_xlfn.XLOOKUP(Analysis!$A99,Previous_Year_Data[Company Name],Previous_Year_Data[SGA Expense])/E54)</f>
        <v>0.931831312947065</v>
      </c>
      <c r="H99" s="19">
        <f>(_xlfn.XLOOKUP(Analysis!$A99,Current_Year_Data[Company Name],Current_Year_Data[Total Debt])/_xlfn.XLOOKUP(Analysis!$A99,Current_Year_Data[Company Name],Current_Year_Data[Total Assets]))/(_xlfn.XLOOKUP(Analysis!$A99,Previous_Year_Data[Company Name],Previous_Year_Data[Total Debt])/_xlfn.XLOOKUP(Analysis!$A99,Previous_Year_Data[Company Name],Previous_Year_Data[Total Assets]))</f>
        <v>0.94590315179446882</v>
      </c>
      <c r="I99" s="19">
        <f t="shared" si="36"/>
        <v>-4.4668895954390969E-2</v>
      </c>
      <c r="J99" s="19">
        <f t="shared" si="37"/>
        <v>-2.3978189867499902</v>
      </c>
    </row>
    <row r="100" spans="1:12" x14ac:dyDescent="0.2">
      <c r="A100" t="s">
        <v>22</v>
      </c>
      <c r="B100" s="19">
        <f t="shared" si="33"/>
        <v>0.82637995435934208</v>
      </c>
      <c r="C100" s="19">
        <f t="shared" si="34"/>
        <v>1.3040788072435805</v>
      </c>
      <c r="D100" s="19">
        <f>((_xlfn.XLOOKUP(Analysis!$A100,Current_Year_Data[Company Name],Current_Year_Data[Non Current Assets])-(_xlfn.XLOOKUP(Analysis!$A100,Current_Year_Data[Company Name],Current_Year_Data[PPE])))/D84)/((_xlfn.XLOOKUP(Analysis!$A100,Previous_Year_Data[Company Name],Previous_Year_Data[Non Current Assets])-(_xlfn.XLOOKUP(Analysis!$A100,Previous_Year_Data[Company Name],Previous_Year_Data[PPE])))/_xlfn.XLOOKUP(Analysis!$A100,Previous_Year_Data[Company Name],Previous_Year_Data[Total Assets]))</f>
        <v>1.2111188666455883</v>
      </c>
      <c r="E100" s="19">
        <f t="shared" si="35"/>
        <v>1.002229323028907</v>
      </c>
      <c r="F100" s="19">
        <f>(_xlfn.XLOOKUP(Analysis!$A100,Previous_Year_Data[Company Name],Previous_Year_Data[Depreciation Expense])/(_xlfn.XLOOKUP(Analysis!$A100,Previous_Year_Data[Company Name],Previous_Year_Data[Depreciation Expense])+_xlfn.XLOOKUP(Analysis!$A100,Previous_Year_Data[Company Name],Previous_Year_Data[PPE])))/(_xlfn.XLOOKUP(Analysis!$A100,Current_Year_Data[Company Name],Current_Year_Data[Depreciation Expense])/(_xlfn.XLOOKUP(Analysis!$A100,Current_Year_Data[Company Name],Current_Year_Data[Depreciation Expense])+_xlfn.XLOOKUP(Analysis!$A100,Current_Year_Data[Company Name],Current_Year_Data[PPE])))</f>
        <v>1.0160964764455156</v>
      </c>
      <c r="G100" s="19">
        <f>(_xlfn.XLOOKUP(Analysis!$A100,Current_Year_Data[Company Name],Current_Year_Data[SGA Expense])/D55)/ (_xlfn.XLOOKUP(Analysis!$A100,Previous_Year_Data[Company Name],Previous_Year_Data[SGA Expense])/E55)</f>
        <v>1.1239947143793816</v>
      </c>
      <c r="H100" s="19">
        <f>(_xlfn.XLOOKUP(Analysis!$A100,Current_Year_Data[Company Name],Current_Year_Data[Total Debt])/_xlfn.XLOOKUP(Analysis!$A100,Current_Year_Data[Company Name],Current_Year_Data[Total Assets]))/(_xlfn.XLOOKUP(Analysis!$A100,Previous_Year_Data[Company Name],Previous_Year_Data[Total Debt])/_xlfn.XLOOKUP(Analysis!$A100,Previous_Year_Data[Company Name],Previous_Year_Data[Total Assets]))</f>
        <v>1.16491136006402</v>
      </c>
      <c r="I100" s="19">
        <f t="shared" si="36"/>
        <v>-3.0911563304356272E-2</v>
      </c>
      <c r="J100" s="19">
        <f t="shared" si="37"/>
        <v>-2.609933469022228</v>
      </c>
    </row>
    <row r="101" spans="1:12" x14ac:dyDescent="0.2">
      <c r="A101" t="s">
        <v>23</v>
      </c>
      <c r="B101" s="19">
        <f t="shared" si="33"/>
        <v>1.0497195871578577</v>
      </c>
      <c r="C101" s="19">
        <f t="shared" si="34"/>
        <v>1.0191122821361058</v>
      </c>
      <c r="D101" s="19">
        <f>((_xlfn.XLOOKUP(Analysis!$A101,Current_Year_Data[Company Name],Current_Year_Data[Non Current Assets])-(_xlfn.XLOOKUP(Analysis!$A101,Current_Year_Data[Company Name],Current_Year_Data[PPE])))/D85)/((_xlfn.XLOOKUP(Analysis!$A101,Previous_Year_Data[Company Name],Previous_Year_Data[Non Current Assets])-(_xlfn.XLOOKUP(Analysis!$A101,Previous_Year_Data[Company Name],Previous_Year_Data[PPE])))/_xlfn.XLOOKUP(Analysis!$A101,Previous_Year_Data[Company Name],Previous_Year_Data[Total Assets]))</f>
        <v>1.1900379451176779</v>
      </c>
      <c r="E101" s="19">
        <f t="shared" si="35"/>
        <v>1.048444872650016</v>
      </c>
      <c r="F101" s="19">
        <f>(_xlfn.XLOOKUP(Analysis!$A101,Previous_Year_Data[Company Name],Previous_Year_Data[Depreciation Expense])/(_xlfn.XLOOKUP(Analysis!$A101,Previous_Year_Data[Company Name],Previous_Year_Data[Depreciation Expense])+_xlfn.XLOOKUP(Analysis!$A101,Previous_Year_Data[Company Name],Previous_Year_Data[PPE])))/(_xlfn.XLOOKUP(Analysis!$A101,Current_Year_Data[Company Name],Current_Year_Data[Depreciation Expense])/(_xlfn.XLOOKUP(Analysis!$A101,Current_Year_Data[Company Name],Current_Year_Data[Depreciation Expense])+_xlfn.XLOOKUP(Analysis!$A101,Current_Year_Data[Company Name],Current_Year_Data[PPE])))</f>
        <v>1.2033021404512205</v>
      </c>
      <c r="G101" s="19">
        <f>(_xlfn.XLOOKUP(Analysis!$A101,Current_Year_Data[Company Name],Current_Year_Data[SGA Expense])/D56)/ (_xlfn.XLOOKUP(Analysis!$A101,Previous_Year_Data[Company Name],Previous_Year_Data[SGA Expense])/E56)</f>
        <v>0.99947663223745442</v>
      </c>
      <c r="H101" s="19">
        <f>(_xlfn.XLOOKUP(Analysis!$A101,Current_Year_Data[Company Name],Current_Year_Data[Total Debt])/_xlfn.XLOOKUP(Analysis!$A101,Current_Year_Data[Company Name],Current_Year_Data[Total Assets]))/(_xlfn.XLOOKUP(Analysis!$A101,Previous_Year_Data[Company Name],Previous_Year_Data[Total Debt])/_xlfn.XLOOKUP(Analysis!$A101,Previous_Year_Data[Company Name],Previous_Year_Data[Total Assets]))</f>
        <v>1.1028404217364391</v>
      </c>
      <c r="I101" s="19">
        <f t="shared" si="36"/>
        <v>-2.5819555888999698E-2</v>
      </c>
      <c r="J101" s="19">
        <f t="shared" si="37"/>
        <v>-2.4351472931209468</v>
      </c>
    </row>
    <row r="102" spans="1:12" x14ac:dyDescent="0.2">
      <c r="J102" s="1"/>
    </row>
  </sheetData>
  <conditionalFormatting sqref="B92:B101">
    <cfRule type="colorScale" priority="10">
      <colorScale>
        <cfvo type="min"/>
        <cfvo type="max"/>
        <color rgb="FFFCFCFF"/>
        <color rgb="FFF8696B"/>
      </colorScale>
    </cfRule>
  </conditionalFormatting>
  <conditionalFormatting sqref="C92:C101">
    <cfRule type="colorScale" priority="9">
      <colorScale>
        <cfvo type="min"/>
        <cfvo type="max"/>
        <color rgb="FFFCFCFF"/>
        <color rgb="FFF8696B"/>
      </colorScale>
    </cfRule>
  </conditionalFormatting>
  <conditionalFormatting sqref="D92:D101">
    <cfRule type="colorScale" priority="8">
      <colorScale>
        <cfvo type="min"/>
        <cfvo type="max"/>
        <color rgb="FFFCFCFF"/>
        <color rgb="FFF8696B"/>
      </colorScale>
    </cfRule>
  </conditionalFormatting>
  <conditionalFormatting sqref="D33:E42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{8EC8D342-614D-B146-A43B-4B9050AC7374}</x14:id>
        </ext>
      </extLst>
    </cfRule>
  </conditionalFormatting>
  <conditionalFormatting sqref="E76:E85">
    <cfRule type="colorScale" priority="11">
      <colorScale>
        <cfvo type="min"/>
        <cfvo type="max"/>
        <color rgb="FFFCFCFF"/>
        <color rgb="FFF8696B"/>
      </colorScale>
    </cfRule>
  </conditionalFormatting>
  <conditionalFormatting sqref="E92:E101">
    <cfRule type="colorScale" priority="7">
      <colorScale>
        <cfvo type="min"/>
        <cfvo type="max"/>
        <color rgb="FFFCFCFF"/>
        <color rgb="FFF8696B"/>
      </colorScale>
    </cfRule>
  </conditionalFormatting>
  <conditionalFormatting sqref="E3:F12">
    <cfRule type="colorScale" priority="26">
      <colorScale>
        <cfvo type="min"/>
        <cfvo type="max"/>
        <color rgb="FFFCFCFF"/>
        <color rgb="FFF8696B"/>
      </colorScale>
    </cfRule>
  </conditionalFormatting>
  <conditionalFormatting sqref="F19:F28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{63456CCC-E368-2242-B753-76AA8620DC2A}</x14:id>
        </ext>
      </extLst>
    </cfRule>
  </conditionalFormatting>
  <conditionalFormatting sqref="F33:F42">
    <cfRule type="colorScale" priority="19">
      <colorScale>
        <cfvo type="min"/>
        <cfvo type="max"/>
        <color rgb="FFFCFCFF"/>
        <color rgb="FFF8696B"/>
      </colorScale>
    </cfRule>
  </conditionalFormatting>
  <conditionalFormatting sqref="F47:F56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{7D4AB932-E97D-E140-885C-206F0774C1C0}</x14:id>
        </ext>
      </extLst>
    </cfRule>
  </conditionalFormatting>
  <conditionalFormatting sqref="F92:F101">
    <cfRule type="colorScale" priority="6">
      <colorScale>
        <cfvo type="min"/>
        <cfvo type="max"/>
        <color rgb="FFFCFCFF"/>
        <color rgb="FFF8696B"/>
      </colorScale>
    </cfRule>
  </conditionalFormatting>
  <conditionalFormatting sqref="F61:G70">
    <cfRule type="colorScale" priority="12">
      <colorScale>
        <cfvo type="min"/>
        <cfvo type="max"/>
        <color rgb="FFFCFCFF"/>
        <color rgb="FFF8696B"/>
      </colorScale>
    </cfRule>
  </conditionalFormatting>
  <conditionalFormatting sqref="F19:H28">
    <cfRule type="colorScale" priority="25">
      <colorScale>
        <cfvo type="min"/>
        <cfvo type="max"/>
        <color rgb="FFFCFCFF"/>
        <color rgb="FFF8696B"/>
      </colorScale>
    </cfRule>
  </conditionalFormatting>
  <conditionalFormatting sqref="G92:G101">
    <cfRule type="colorScale" priority="5">
      <colorScale>
        <cfvo type="min"/>
        <cfvo type="max"/>
        <color rgb="FFFCFCFF"/>
        <color rgb="FFF8696B"/>
      </colorScale>
    </cfRule>
  </conditionalFormatting>
  <conditionalFormatting sqref="G47:H56">
    <cfRule type="colorScale" priority="17">
      <colorScale>
        <cfvo type="min"/>
        <cfvo type="max"/>
        <color rgb="FFFCFCFF"/>
        <color rgb="FFF8696B"/>
      </colorScale>
    </cfRule>
  </conditionalFormatting>
  <conditionalFormatting sqref="H61:H70">
    <cfRule type="colorScale" priority="13">
      <colorScale>
        <cfvo type="min"/>
        <cfvo type="max"/>
        <color rgb="FFFCFCFF"/>
        <color rgb="FFF8696B"/>
      </colorScale>
    </cfRule>
  </conditionalFormatting>
  <conditionalFormatting sqref="H92:H101">
    <cfRule type="colorScale" priority="4">
      <colorScale>
        <cfvo type="min"/>
        <cfvo type="max"/>
        <color rgb="FFFCFCFF"/>
        <color rgb="FFF8696B"/>
      </colorScale>
    </cfRule>
  </conditionalFormatting>
  <conditionalFormatting sqref="I19:I28">
    <cfRule type="colorScale" priority="23">
      <colorScale>
        <cfvo type="min"/>
        <cfvo type="max"/>
        <color rgb="FFF8696B"/>
        <color rgb="FFFCFCFF"/>
      </colorScale>
    </cfRule>
  </conditionalFormatting>
  <conditionalFormatting sqref="I47:I56">
    <cfRule type="colorScale" priority="14">
      <colorScale>
        <cfvo type="min"/>
        <cfvo type="max"/>
        <color rgb="FFFCFCFF"/>
        <color rgb="FFF8696B"/>
      </colorScale>
    </cfRule>
  </conditionalFormatting>
  <conditionalFormatting sqref="I92:I101">
    <cfRule type="colorScale" priority="2">
      <colorScale>
        <cfvo type="min"/>
        <cfvo type="max"/>
        <color rgb="FFFCFCFF"/>
        <color rgb="FFF8696B"/>
      </colorScale>
    </cfRule>
  </conditionalFormatting>
  <conditionalFormatting sqref="J92:J10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C8D342-614D-B146-A43B-4B9050AC7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D33:E42</xm:sqref>
        </x14:conditionalFormatting>
        <x14:conditionalFormatting xmlns:xm="http://schemas.microsoft.com/office/excel/2006/main">
          <x14:cfRule type="dataBar" id="{63456CCC-E368-2242-B753-76AA8620DC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F19:F28</xm:sqref>
        </x14:conditionalFormatting>
        <x14:conditionalFormatting xmlns:xm="http://schemas.microsoft.com/office/excel/2006/main">
          <x14:cfRule type="dataBar" id="{7D4AB932-E97D-E140-885C-206F0774C1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F47:F56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Company_Data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Weston</dc:creator>
  <cp:lastModifiedBy>Nathan Jenkins</cp:lastModifiedBy>
  <dcterms:created xsi:type="dcterms:W3CDTF">2023-03-04T20:41:35Z</dcterms:created>
  <dcterms:modified xsi:type="dcterms:W3CDTF">2023-04-26T20:58:13Z</dcterms:modified>
</cp:coreProperties>
</file>